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alok tiwari\AKT_Technical Data\AKT_eBooks &amp; Training Materials\MW Link Planning Tool\Transmission Planning Tool\"/>
    </mc:Choice>
  </mc:AlternateContent>
  <bookViews>
    <workbookView xWindow="9600" yWindow="-15" windowWidth="9645" windowHeight="8280" tabRatio="739"/>
  </bookViews>
  <sheets>
    <sheet name="Link Budget" sheetId="1" r:id="rId1"/>
    <sheet name="Link Budget - CPICH" sheetId="11" r:id="rId2"/>
    <sheet name="ADJ CH INTF" sheetId="10" r:id="rId3"/>
    <sheet name="Hata Okumara Model" sheetId="4" r:id="rId4"/>
    <sheet name="References" sheetId="6" r:id="rId5"/>
  </sheets>
  <calcPr calcId="152511"/>
</workbook>
</file>

<file path=xl/calcChain.xml><?xml version="1.0" encoding="utf-8"?>
<calcChain xmlns="http://schemas.openxmlformats.org/spreadsheetml/2006/main">
  <c r="F39" i="1" l="1"/>
  <c r="D39" i="1"/>
  <c r="L39" i="1"/>
  <c r="D68" i="1" l="1"/>
  <c r="C7" i="4"/>
  <c r="W2" i="4"/>
  <c r="J31" i="1"/>
  <c r="R39" i="1"/>
  <c r="P39" i="1"/>
  <c r="N39" i="1"/>
  <c r="J39" i="1"/>
  <c r="H39" i="1"/>
  <c r="V58" i="1"/>
  <c r="P9" i="1"/>
  <c r="L9" i="1"/>
  <c r="H9" i="1"/>
  <c r="AB3" i="1"/>
  <c r="C6" i="11"/>
  <c r="F6" i="11" s="1"/>
  <c r="C15" i="11"/>
  <c r="F15" i="11" s="1"/>
  <c r="C8" i="11"/>
  <c r="C10" i="11" s="1"/>
  <c r="C29" i="11"/>
  <c r="C24" i="11"/>
  <c r="C46" i="11" s="1"/>
  <c r="C3" i="11"/>
  <c r="D49" i="1"/>
  <c r="D51" i="1" s="1"/>
  <c r="D52" i="1" s="1"/>
  <c r="D47" i="1"/>
  <c r="D50" i="1" s="1"/>
  <c r="C45" i="11"/>
  <c r="C44" i="11"/>
  <c r="F2" i="11"/>
  <c r="C22" i="11"/>
  <c r="C12" i="11"/>
  <c r="C14" i="11" s="1"/>
  <c r="F14" i="11" s="1"/>
  <c r="D5" i="1"/>
  <c r="C6" i="4"/>
  <c r="AB7" i="1"/>
  <c r="AB15" i="1"/>
  <c r="AB16" i="1" s="1"/>
  <c r="AB17" i="1" s="1"/>
  <c r="AB5" i="1"/>
  <c r="AB6" i="1"/>
  <c r="AB8" i="1"/>
  <c r="AB9" i="1"/>
  <c r="AB10" i="1"/>
  <c r="C18" i="10"/>
  <c r="C19" i="10" s="1"/>
  <c r="C14" i="10"/>
  <c r="C6" i="10"/>
  <c r="C22" i="10" l="1"/>
  <c r="C26" i="10" s="1"/>
  <c r="C21" i="10"/>
  <c r="C25" i="10" s="1"/>
  <c r="D63" i="1"/>
  <c r="D53" i="1"/>
  <c r="D54" i="1"/>
  <c r="D55" i="1" s="1"/>
  <c r="D56" i="1" s="1"/>
  <c r="D61" i="1" s="1"/>
  <c r="F10" i="11"/>
  <c r="C25" i="11"/>
  <c r="C26" i="11"/>
  <c r="C48" i="11"/>
  <c r="F32" i="1"/>
  <c r="R28" i="1"/>
  <c r="N28" i="1"/>
  <c r="J28" i="1"/>
  <c r="F28" i="1"/>
  <c r="P22" i="1"/>
  <c r="L22" i="1"/>
  <c r="H22" i="1"/>
  <c r="H11" i="1"/>
  <c r="R27" i="1"/>
  <c r="P11" i="1" s="1"/>
  <c r="N27" i="1"/>
  <c r="L11" i="1" s="1"/>
  <c r="J27" i="1"/>
  <c r="P29" i="1"/>
  <c r="L29" i="1"/>
  <c r="H29" i="1"/>
  <c r="P31" i="1"/>
  <c r="R33" i="1"/>
  <c r="N33" i="1"/>
  <c r="J33" i="1"/>
  <c r="F33" i="1"/>
  <c r="L32" i="1"/>
  <c r="L31" i="1"/>
  <c r="H32" i="1"/>
  <c r="J32" i="1" s="1"/>
  <c r="H31" i="1"/>
  <c r="P5" i="1"/>
  <c r="L5" i="1"/>
  <c r="H5" i="1"/>
  <c r="C31" i="11" l="1"/>
  <c r="C19" i="11" s="1"/>
  <c r="C47" i="11"/>
  <c r="C32" i="11"/>
  <c r="L67" i="1"/>
  <c r="N46" i="1"/>
  <c r="J46" i="1"/>
  <c r="F46" i="1"/>
  <c r="R46" i="1"/>
  <c r="D46" i="1"/>
  <c r="P49" i="1"/>
  <c r="R48" i="1"/>
  <c r="R47" i="1"/>
  <c r="P47" i="1"/>
  <c r="P50" i="1" s="1"/>
  <c r="P41" i="1"/>
  <c r="P46" i="1"/>
  <c r="R31" i="1"/>
  <c r="P28" i="1"/>
  <c r="P27" i="1"/>
  <c r="P24" i="1"/>
  <c r="R18" i="1"/>
  <c r="R20" i="1" s="1"/>
  <c r="R21" i="1" s="1"/>
  <c r="R23" i="1" s="1"/>
  <c r="P18" i="1"/>
  <c r="P20" i="1" s="1"/>
  <c r="P21" i="1" s="1"/>
  <c r="P23" i="1" s="1"/>
  <c r="R14" i="1"/>
  <c r="R9" i="1"/>
  <c r="R3" i="1"/>
  <c r="R5" i="1" s="1"/>
  <c r="L49" i="1"/>
  <c r="N48" i="1"/>
  <c r="N47" i="1"/>
  <c r="L47" i="1"/>
  <c r="L50" i="1" s="1"/>
  <c r="L41" i="1"/>
  <c r="N31" i="1"/>
  <c r="L28" i="1"/>
  <c r="L27" i="1"/>
  <c r="L24" i="1"/>
  <c r="N18" i="1"/>
  <c r="N20" i="1" s="1"/>
  <c r="N21" i="1" s="1"/>
  <c r="N23" i="1" s="1"/>
  <c r="L18" i="1"/>
  <c r="L20" i="1" s="1"/>
  <c r="L21" i="1" s="1"/>
  <c r="L23" i="1" s="1"/>
  <c r="N14" i="1"/>
  <c r="N9" i="1"/>
  <c r="N3" i="1"/>
  <c r="N5" i="1" s="1"/>
  <c r="H49" i="1"/>
  <c r="J48" i="1"/>
  <c r="J47" i="1"/>
  <c r="H47" i="1"/>
  <c r="H50" i="1" s="1"/>
  <c r="H41" i="1"/>
  <c r="H46" i="1"/>
  <c r="H28" i="1"/>
  <c r="H27" i="1"/>
  <c r="H24" i="1"/>
  <c r="J18" i="1"/>
  <c r="J20" i="1" s="1"/>
  <c r="J21" i="1" s="1"/>
  <c r="J23" i="1" s="1"/>
  <c r="H18" i="1"/>
  <c r="H20" i="1" s="1"/>
  <c r="H21" i="1" s="1"/>
  <c r="H23" i="1" s="1"/>
  <c r="J14" i="1"/>
  <c r="J9" i="1"/>
  <c r="J3" i="1"/>
  <c r="J5" i="1" s="1"/>
  <c r="F3" i="1"/>
  <c r="F5" i="1" s="1"/>
  <c r="F9" i="1"/>
  <c r="AA12" i="1"/>
  <c r="Z12" i="1" s="1"/>
  <c r="F14" i="1"/>
  <c r="D24" i="1"/>
  <c r="AS10" i="1"/>
  <c r="F48" i="1"/>
  <c r="F47" i="1"/>
  <c r="F31" i="1"/>
  <c r="D41" i="1"/>
  <c r="D28" i="1"/>
  <c r="D27" i="1"/>
  <c r="D18" i="1"/>
  <c r="D20" i="1" s="1"/>
  <c r="D21" i="1" s="1"/>
  <c r="D11" i="1"/>
  <c r="T6" i="4"/>
  <c r="U6" i="4"/>
  <c r="X3" i="4"/>
  <c r="X4" i="4" s="1"/>
  <c r="X5" i="4" s="1"/>
  <c r="X6" i="4" s="1"/>
  <c r="X7" i="4" s="1"/>
  <c r="X8" i="4" s="1"/>
  <c r="X9" i="4" s="1"/>
  <c r="E6" i="4"/>
  <c r="F6" i="4"/>
  <c r="G6" i="4"/>
  <c r="H6" i="4"/>
  <c r="I6" i="4"/>
  <c r="J6" i="4"/>
  <c r="K6" i="4"/>
  <c r="L6" i="4"/>
  <c r="M6" i="4"/>
  <c r="N6" i="4"/>
  <c r="O6" i="4"/>
  <c r="P6" i="4"/>
  <c r="Q6" i="4"/>
  <c r="R6" i="4"/>
  <c r="S6" i="4"/>
  <c r="D6" i="4"/>
  <c r="D7" i="4" s="1"/>
  <c r="W3" i="4" s="1"/>
  <c r="D1" i="4"/>
  <c r="E1" i="4" s="1"/>
  <c r="F18" i="1"/>
  <c r="F20" i="1" s="1"/>
  <c r="E7" i="4" l="1"/>
  <c r="W4" i="4" s="1"/>
  <c r="F1" i="4"/>
  <c r="J49" i="1"/>
  <c r="J50" i="1"/>
  <c r="L46" i="1"/>
  <c r="D10" i="1"/>
  <c r="D14" i="1" s="1"/>
  <c r="L10" i="1"/>
  <c r="L14" i="1" s="1"/>
  <c r="H10" i="1"/>
  <c r="H14" i="1" s="1"/>
  <c r="P10" i="1"/>
  <c r="P14" i="1" s="1"/>
  <c r="C18" i="11"/>
  <c r="C33" i="11" s="1"/>
  <c r="F32" i="11"/>
  <c r="C16" i="11" s="1"/>
  <c r="C49" i="11"/>
  <c r="C50" i="11" s="1"/>
  <c r="C52" i="11"/>
  <c r="C53" i="11" s="1"/>
  <c r="C54" i="11" s="1"/>
  <c r="C51" i="11"/>
  <c r="C55" i="11"/>
  <c r="C56" i="11" s="1"/>
  <c r="R49" i="1"/>
  <c r="N49" i="1"/>
  <c r="N51" i="1" s="1"/>
  <c r="N52" i="1" s="1"/>
  <c r="F24" i="1"/>
  <c r="F49" i="1"/>
  <c r="F51" i="1" s="1"/>
  <c r="F52" i="1" s="1"/>
  <c r="R50" i="1"/>
  <c r="R53" i="1" s="1"/>
  <c r="H54" i="1"/>
  <c r="H55" i="1" s="1"/>
  <c r="H56" i="1" s="1"/>
  <c r="N50" i="1"/>
  <c r="L54" i="1"/>
  <c r="L55" i="1" s="1"/>
  <c r="L56" i="1" s="1"/>
  <c r="P54" i="1"/>
  <c r="P55" i="1" s="1"/>
  <c r="P56" i="1" s="1"/>
  <c r="R51" i="1"/>
  <c r="R52" i="1" s="1"/>
  <c r="P26" i="1"/>
  <c r="R24" i="1"/>
  <c r="R26" i="1" s="1"/>
  <c r="P51" i="1"/>
  <c r="P52" i="1" s="1"/>
  <c r="P53" i="1"/>
  <c r="N54" i="1"/>
  <c r="N55" i="1" s="1"/>
  <c r="N56" i="1" s="1"/>
  <c r="L26" i="1"/>
  <c r="N24" i="1"/>
  <c r="N26" i="1" s="1"/>
  <c r="L51" i="1"/>
  <c r="L52" i="1" s="1"/>
  <c r="L53" i="1"/>
  <c r="J54" i="1"/>
  <c r="J55" i="1" s="1"/>
  <c r="J56" i="1" s="1"/>
  <c r="J53" i="1"/>
  <c r="J51" i="1"/>
  <c r="J52" i="1" s="1"/>
  <c r="H26" i="1"/>
  <c r="J24" i="1"/>
  <c r="J26" i="1" s="1"/>
  <c r="H51" i="1"/>
  <c r="H52" i="1" s="1"/>
  <c r="H53" i="1"/>
  <c r="F50" i="1"/>
  <c r="D23" i="1"/>
  <c r="D26" i="1" s="1"/>
  <c r="F21" i="1"/>
  <c r="F23" i="1" s="1"/>
  <c r="D8" i="4"/>
  <c r="X10" i="4"/>
  <c r="X11" i="4" s="1"/>
  <c r="X12" i="4" s="1"/>
  <c r="X13" i="4" s="1"/>
  <c r="X14" i="4" s="1"/>
  <c r="X15" i="4" s="1"/>
  <c r="X16" i="4" s="1"/>
  <c r="X17" i="4" s="1"/>
  <c r="X18" i="4" s="1"/>
  <c r="X19" i="4" s="1"/>
  <c r="C8" i="4"/>
  <c r="G1" i="4" l="1"/>
  <c r="F7" i="4"/>
  <c r="W5" i="4" s="1"/>
  <c r="R54" i="1"/>
  <c r="R55" i="1" s="1"/>
  <c r="R56" i="1" s="1"/>
  <c r="E8" i="4"/>
  <c r="D30" i="1"/>
  <c r="D34" i="1" s="1"/>
  <c r="D57" i="1" s="1"/>
  <c r="L30" i="1"/>
  <c r="L34" i="1" s="1"/>
  <c r="L57" i="1" s="1"/>
  <c r="P30" i="1"/>
  <c r="P34" i="1" s="1"/>
  <c r="P57" i="1" s="1"/>
  <c r="R30" i="1"/>
  <c r="R34" i="1" s="1"/>
  <c r="R57" i="1" s="1"/>
  <c r="P35" i="1"/>
  <c r="N30" i="1"/>
  <c r="N34" i="1" s="1"/>
  <c r="N57" i="1" s="1"/>
  <c r="L35" i="1"/>
  <c r="J30" i="1"/>
  <c r="J34" i="1" s="1"/>
  <c r="J57" i="1" s="1"/>
  <c r="H35" i="1"/>
  <c r="H30" i="1"/>
  <c r="F26" i="1"/>
  <c r="C58" i="11"/>
  <c r="C60" i="11"/>
  <c r="N53" i="1"/>
  <c r="F54" i="1"/>
  <c r="F55" i="1" s="1"/>
  <c r="F56" i="1" s="1"/>
  <c r="H34" i="1"/>
  <c r="F53" i="1"/>
  <c r="P61" i="1"/>
  <c r="P63" i="1"/>
  <c r="L61" i="1"/>
  <c r="L63" i="1"/>
  <c r="H61" i="1"/>
  <c r="H63" i="1"/>
  <c r="F8" i="4" l="1"/>
  <c r="L58" i="1"/>
  <c r="L59" i="1" s="1"/>
  <c r="H68" i="1" s="1"/>
  <c r="H1" i="4"/>
  <c r="G7" i="4"/>
  <c r="P58" i="1"/>
  <c r="P59" i="1" s="1"/>
  <c r="J68" i="1" s="1"/>
  <c r="F30" i="1"/>
  <c r="F34" i="1" s="1"/>
  <c r="F57" i="1" s="1"/>
  <c r="D35" i="1"/>
  <c r="H57" i="1"/>
  <c r="H58" i="1" s="1"/>
  <c r="H59" i="1" s="1"/>
  <c r="F68" i="1" s="1"/>
  <c r="W6" i="4" l="1"/>
  <c r="G8" i="4"/>
  <c r="I1" i="4"/>
  <c r="H7" i="4"/>
  <c r="H8" i="4" s="1"/>
  <c r="D58" i="1"/>
  <c r="W7" i="4" l="1"/>
  <c r="J1" i="4"/>
  <c r="I7" i="4"/>
  <c r="D59" i="1"/>
  <c r="L68" i="1" l="1"/>
  <c r="I8" i="4"/>
  <c r="W8" i="4"/>
  <c r="K1" i="4"/>
  <c r="J7" i="4"/>
  <c r="J8" i="4" s="1"/>
  <c r="W9" i="4" l="1"/>
  <c r="L1" i="4"/>
  <c r="K7" i="4"/>
  <c r="K8" i="4" l="1"/>
  <c r="W10" i="4"/>
  <c r="L7" i="4"/>
  <c r="L8" i="4" s="1"/>
  <c r="M1" i="4"/>
  <c r="M7" i="4" l="1"/>
  <c r="M8" i="4" s="1"/>
  <c r="N1" i="4"/>
  <c r="N7" i="4" l="1"/>
  <c r="N8" i="4" s="1"/>
  <c r="O1" i="4"/>
  <c r="W13" i="4"/>
  <c r="O7" i="4" l="1"/>
  <c r="O8" i="4" s="1"/>
  <c r="P1" i="4"/>
  <c r="W14" i="4" l="1"/>
  <c r="P7" i="4"/>
  <c r="P8" i="4" s="1"/>
  <c r="Q1" i="4"/>
  <c r="W15" i="4" l="1"/>
  <c r="Q7" i="4"/>
  <c r="R1" i="4"/>
  <c r="R7" i="4" l="1"/>
  <c r="R8" i="4" s="1"/>
  <c r="S1" i="4"/>
  <c r="Q8" i="4"/>
  <c r="W16" i="4"/>
  <c r="S7" i="4" l="1"/>
  <c r="S8" i="4" s="1"/>
  <c r="T1" i="4"/>
  <c r="T7" i="4" l="1"/>
  <c r="T8" i="4" s="1"/>
  <c r="U1" i="4"/>
  <c r="W19" i="4"/>
  <c r="U7" i="4" l="1"/>
  <c r="W11" i="4" l="1"/>
  <c r="W12" i="4"/>
  <c r="W17" i="4"/>
  <c r="W18" i="4"/>
  <c r="W20" i="4"/>
  <c r="U8" i="4"/>
</calcChain>
</file>

<file path=xl/sharedStrings.xml><?xml version="1.0" encoding="utf-8"?>
<sst xmlns="http://schemas.openxmlformats.org/spreadsheetml/2006/main" count="428" uniqueCount="270">
  <si>
    <t>a</t>
  </si>
  <si>
    <t>b</t>
  </si>
  <si>
    <t>Equivalent Isotropic Radiated Power (EIRP) [dBm]</t>
  </si>
  <si>
    <t>Body Loss  [dB]</t>
  </si>
  <si>
    <t>c</t>
  </si>
  <si>
    <t>Thermal noise density [dBm/Hz]</t>
  </si>
  <si>
    <t>e</t>
  </si>
  <si>
    <t>=10*log(kT)</t>
  </si>
  <si>
    <t>f</t>
  </si>
  <si>
    <t>g=e+f</t>
  </si>
  <si>
    <t>Receiver noise power [dBm]</t>
  </si>
  <si>
    <t>BW=3840000 Hz</t>
  </si>
  <si>
    <t>Interference margin [dB]</t>
  </si>
  <si>
    <t>i</t>
  </si>
  <si>
    <t>h=g+10*log(BW), (=kTBF)</t>
  </si>
  <si>
    <t>j=h+i</t>
  </si>
  <si>
    <t>Processing Gain, PG [dB]</t>
  </si>
  <si>
    <t>User Data Bite Rate, UDBR [kbps]</t>
  </si>
  <si>
    <t>k=10*log(3840/UDBR in kbps)</t>
  </si>
  <si>
    <t>l</t>
  </si>
  <si>
    <t>Receiver Sensitivity [dBm]</t>
  </si>
  <si>
    <t>m=l-k+j</t>
  </si>
  <si>
    <t>Required Eb/No [dB]</t>
  </si>
  <si>
    <t>n</t>
  </si>
  <si>
    <t>Cable loss in the base station [dB]</t>
  </si>
  <si>
    <t>Fast fading margin [dB]</t>
  </si>
  <si>
    <t>o</t>
  </si>
  <si>
    <t>p</t>
  </si>
  <si>
    <t>Max. path loss [dB]</t>
  </si>
  <si>
    <t>q=d-m+n-o-p</t>
  </si>
  <si>
    <t>Soft handover gain [dB], multicell</t>
  </si>
  <si>
    <t>r</t>
  </si>
  <si>
    <t>s</t>
  </si>
  <si>
    <t>t</t>
  </si>
  <si>
    <t>Allowed propagation loss for cell range [dB]</t>
  </si>
  <si>
    <t>u=q-r+s-t</t>
  </si>
  <si>
    <t>Mobile = 21 dBm, Dongle = 24 dBm</t>
  </si>
  <si>
    <t>Body loss = 3 dB (mobile), 0 dB (dongle)</t>
  </si>
  <si>
    <t>Ant Gain = 0 dB (mobile), 2 dB (dongle)</t>
  </si>
  <si>
    <t>Frequency [MHz]</t>
  </si>
  <si>
    <t>Base Station Ant Height, Ht [m]</t>
  </si>
  <si>
    <t>Mobile Ant Height, Hm [m]</t>
  </si>
  <si>
    <t>Correlation Factor for Mobile Ant height a(Hm) [dB]</t>
  </si>
  <si>
    <t>mid-size city</t>
  </si>
  <si>
    <t>Cell Area for hexagonal cell [sq. Km]</t>
  </si>
  <si>
    <t>Cell Radius/range [Km]</t>
  </si>
  <si>
    <t>Path Loss [dB]</t>
  </si>
  <si>
    <t>Cell Range [Km]</t>
  </si>
  <si>
    <t>Input Values</t>
  </si>
  <si>
    <t>Input Values = f(fast/slow fading gain wrt UDBR)</t>
  </si>
  <si>
    <t xml:space="preserve"> Activity</t>
  </si>
  <si>
    <t>Downlink common channel</t>
  </si>
  <si>
    <t>Relative to CPICH, dB</t>
  </si>
  <si>
    <t>Secondary common control physical channel S-CCPCH</t>
  </si>
  <si>
    <t>Common pilot channel CPICH</t>
  </si>
  <si>
    <t>Primary synchronisation channel SCH</t>
  </si>
  <si>
    <t>Secondary synchronisation channel SCH</t>
  </si>
  <si>
    <t>Paging indicator channel PICH</t>
  </si>
  <si>
    <t>Acquisition indicator channel AICH</t>
  </si>
  <si>
    <t>Total common channel powers</t>
  </si>
  <si>
    <t>Primary common control physical channel P-CCPCH</t>
  </si>
  <si>
    <t>Average power allocation with 20W maximum power, W</t>
  </si>
  <si>
    <t>1-Worst case</t>
  </si>
  <si>
    <t>2-Depends on the FACH bit rate, 32 kbps assumed here</t>
  </si>
  <si>
    <t>3-Depends on the amount of PCH and FACH traffic</t>
  </si>
  <si>
    <r>
      <t>0</t>
    </r>
    <r>
      <rPr>
        <sz val="11"/>
        <color rgb="FFFF0000"/>
        <rFont val="Calibri"/>
        <family val="2"/>
        <scheme val="minor"/>
      </rPr>
      <t>#2</t>
    </r>
  </si>
  <si>
    <r>
      <t>100%</t>
    </r>
    <r>
      <rPr>
        <sz val="11"/>
        <color rgb="FFFF0000"/>
        <rFont val="Calibri"/>
        <family val="2"/>
        <scheme val="minor"/>
      </rPr>
      <t xml:space="preserve"> #1</t>
    </r>
  </si>
  <si>
    <r>
      <t xml:space="preserve">10% </t>
    </r>
    <r>
      <rPr>
        <sz val="11"/>
        <color rgb="FFFF0000"/>
        <rFont val="Calibri"/>
        <family val="2"/>
        <scheme val="minor"/>
      </rPr>
      <t>#3</t>
    </r>
  </si>
  <si>
    <t>Transmistter</t>
  </si>
  <si>
    <t>Receiver</t>
  </si>
  <si>
    <t>Mobile</t>
  </si>
  <si>
    <t>Node B</t>
  </si>
  <si>
    <t>Uplink</t>
  </si>
  <si>
    <t>Downlink</t>
  </si>
  <si>
    <t>Ant Gain  [dBi]</t>
  </si>
  <si>
    <t>Receiver noise figure [dB]</t>
  </si>
  <si>
    <t>Noise density [dBm/Hz]</t>
  </si>
  <si>
    <t>Antenna gain [dBi]</t>
  </si>
  <si>
    <t>Target Load</t>
  </si>
  <si>
    <t>Power [W]</t>
  </si>
  <si>
    <t>Target load%</t>
  </si>
  <si>
    <t>_x0002_ Urban micro cells 70% (small cells, traffic hotspots and indoor)</t>
  </si>
  <si>
    <t>_x0002_ Not higher than 75% (UL hard to manage, interference explodes)</t>
  </si>
  <si>
    <t>_x0002_ Rural 30-40% (coverage important, lower traffic, different userprofile)</t>
  </si>
  <si>
    <t xml:space="preserve">_x0002_ Urban macro cells 50-60% (demanding traffic &amp; user profiles buildings restrict cell dominance, shadowing) </t>
  </si>
  <si>
    <t>Control Overhead =</t>
  </si>
  <si>
    <t>Cable Loss [dB]</t>
  </si>
  <si>
    <t>c'</t>
  </si>
  <si>
    <t>d=a+b-c-c'</t>
  </si>
  <si>
    <t>Indoor Pentration loss [dB]</t>
  </si>
  <si>
    <t>Cell Radius Calculation</t>
  </si>
  <si>
    <t>DU</t>
  </si>
  <si>
    <t>Morphology (DU, U, SU, RU)</t>
  </si>
  <si>
    <t>COST-231 Hata  Model</t>
  </si>
  <si>
    <t>Total effective noise/interference [dBm]</t>
  </si>
  <si>
    <t>Nos. of Users</t>
  </si>
  <si>
    <t>Log-normal fading (Shadowing) margin [dB]</t>
  </si>
  <si>
    <t>a factor</t>
  </si>
  <si>
    <t>t(a)</t>
  </si>
  <si>
    <t>erf(a)</t>
  </si>
  <si>
    <t>Edge Reliability</t>
  </si>
  <si>
    <t>dB/decade</t>
  </si>
  <si>
    <t>Path Loss: Cost 231 Model</t>
  </si>
  <si>
    <t>Std. Deviation (Sigma)</t>
  </si>
  <si>
    <t>b factor</t>
  </si>
  <si>
    <t>exponent (a,b)</t>
  </si>
  <si>
    <t>t(a,b)</t>
  </si>
  <si>
    <t>erf (a,b)</t>
  </si>
  <si>
    <t>Cell coverage</t>
  </si>
  <si>
    <t>Clutter</t>
  </si>
  <si>
    <t>Feeder Loss (dB)</t>
  </si>
  <si>
    <t>Bldg Pent. Loss (dB)</t>
  </si>
  <si>
    <t>Log Normal Standard deviation (dB)</t>
  </si>
  <si>
    <t>Node B Antenna Height (mtr)</t>
  </si>
  <si>
    <t>Ec/Io (dB)</t>
  </si>
  <si>
    <t>Orthogonality (%)</t>
  </si>
  <si>
    <t>U</t>
  </si>
  <si>
    <t>SU</t>
  </si>
  <si>
    <t>RU</t>
  </si>
  <si>
    <t xml:space="preserve">Voice </t>
  </si>
  <si>
    <t>Video</t>
  </si>
  <si>
    <t>Data</t>
  </si>
  <si>
    <t>HSPA</t>
  </si>
  <si>
    <t>Activity Factor</t>
  </si>
  <si>
    <t>%</t>
  </si>
  <si>
    <t>argument (a,b)</t>
  </si>
  <si>
    <t>Max Transmit Power  [dBm]</t>
  </si>
  <si>
    <t>Other cell to Own cell inteference</t>
  </si>
  <si>
    <t>for 3 sector:65%</t>
  </si>
  <si>
    <t>Orthogonality</t>
  </si>
  <si>
    <t>Load Factor = [(Eb/No)/(B/UBDR)]*[Nos. of Subs]*[Act. Factor]*[((1-(Orth.))+i)]</t>
  </si>
  <si>
    <t>Vehic. - 50%, Pedest. - 90% (only DL)</t>
  </si>
  <si>
    <t>D/L</t>
  </si>
  <si>
    <t>U/L</t>
  </si>
  <si>
    <t>for Speech:66% (UL), 58% (DL)</t>
  </si>
  <si>
    <t>speech=5 dB, 144 kbps real time data= 1.5 dB, 384 kbps non real time data= 1.0 dB</t>
  </si>
  <si>
    <t>=[EIRP]-[Rx. Sens.]+[Rx. Ant Gain]-[Cable loss]-[FFM]</t>
  </si>
  <si>
    <t>=[MPL]-[SFM(Shadowing)]+[SHO Gain]-[Pent. Loss]</t>
  </si>
  <si>
    <t>=[(Eb/No)/(B/Rb)]*k*T*B*F+[IM]</t>
  </si>
  <si>
    <t>Dense Urban</t>
  </si>
  <si>
    <t>Urban</t>
  </si>
  <si>
    <t>Sub Urban</t>
  </si>
  <si>
    <t>Rural</t>
  </si>
  <si>
    <t>R</t>
  </si>
  <si>
    <t>Total</t>
  </si>
  <si>
    <t xml:space="preserve">Nos. of proposed Sites </t>
  </si>
  <si>
    <t>Clutter Area of a TOWN [Km^2]</t>
  </si>
  <si>
    <t>kbps</t>
  </si>
  <si>
    <t>Data Rate</t>
  </si>
  <si>
    <t>Rx Level Cuttoff Values [dBm]</t>
  </si>
  <si>
    <t>=Senst_UE+Fade Margins (Slow+Fast)+pent. Loss+C/I (Int. Margin)</t>
  </si>
  <si>
    <t>The adjacent channel interference in downlink may cause dead zones around interfering base stations. In this section we evaluate the sizes of these dead zones as a function of the coverage of the own signal. The coverage is defined as the received pilot power level. The results show that the dead zones can occur only if the following conditions take place at the same time: own network coverage is weak, the mobile is located close to the interfering base station that is operating on the adjacent frequency with maximum power, and UE performance is just meeting 3GPP selectivity requirements.</t>
  </si>
  <si>
    <t>Local Down Link Interference due to ADJACENT Channel</t>
  </si>
  <si>
    <t>Transmission power of Operator 2’s base station</t>
  </si>
  <si>
    <t>1. Max Power transmitted</t>
  </si>
  <si>
    <t>2. Only CCH power transmitted</t>
  </si>
  <si>
    <t>dBm</t>
  </si>
  <si>
    <t>Pilot power from Operator 1’s base station</t>
  </si>
  <si>
    <t>Maximum allocated power per voice connection from Operator 1’s base station</t>
  </si>
  <si>
    <t>Required Eb/No for voice connection</t>
  </si>
  <si>
    <t>Required Ec/Io for voice connection</t>
  </si>
  <si>
    <t>dB</t>
  </si>
  <si>
    <t>Processing Gain</t>
  </si>
  <si>
    <t>=[Eb/No]-[P.G.]</t>
  </si>
  <si>
    <t>received pilot power level from Operator 1’s base station</t>
  </si>
  <si>
    <t>Maximum received power for voice connection</t>
  </si>
  <si>
    <t>In this case it is equal to the pilot power level since the maximum transmission power for voice is assumed (C11) to be equal to the pilot power of 33 dBm.</t>
  </si>
  <si>
    <t>Maximum tolerated interference level, Io</t>
  </si>
  <si>
    <t>=[Max Rx Power]-[Ec/Io]</t>
  </si>
  <si>
    <t>Maximum tolerated interference level on the adjacent carrier</t>
  </si>
  <si>
    <t>Adjacent channel attenuation</t>
  </si>
  <si>
    <t>=[Max tolerated Io]-[ADJ Ch atten]</t>
  </si>
  <si>
    <t>Minimum required path loss</t>
  </si>
  <si>
    <t>1. Max Power transmitted by Operator2</t>
  </si>
  <si>
    <t>2. Only CCH power transmitted by Operator2</t>
  </si>
  <si>
    <t>Minimum required distance</t>
  </si>
  <si>
    <t>Pathloss=37+20*log(d)</t>
  </si>
  <si>
    <t>mtr</t>
  </si>
  <si>
    <t>d</t>
  </si>
  <si>
    <t>g</t>
  </si>
  <si>
    <t>h</t>
  </si>
  <si>
    <t>j</t>
  </si>
  <si>
    <t>k</t>
  </si>
  <si>
    <t>m</t>
  </si>
  <si>
    <t>q</t>
  </si>
  <si>
    <t>u</t>
  </si>
  <si>
    <t>v</t>
  </si>
  <si>
    <t>w</t>
  </si>
  <si>
    <t>x</t>
  </si>
  <si>
    <t>y</t>
  </si>
  <si>
    <t>z</t>
  </si>
  <si>
    <t>aa</t>
  </si>
  <si>
    <t>ab</t>
  </si>
  <si>
    <t>ac</t>
  </si>
  <si>
    <t>ad</t>
  </si>
  <si>
    <t>ae</t>
  </si>
  <si>
    <t>af</t>
  </si>
  <si>
    <t>Reference</t>
  </si>
  <si>
    <t>Parameters</t>
  </si>
  <si>
    <t>Log Values</t>
  </si>
  <si>
    <t>Units</t>
  </si>
  <si>
    <t>Formula</t>
  </si>
  <si>
    <t>CPICH Transmit Power</t>
  </si>
  <si>
    <t>Input</t>
  </si>
  <si>
    <t>CPICH Ec/Ior</t>
  </si>
  <si>
    <t>Cable, connectors, combiner losses</t>
  </si>
  <si>
    <t>Transmit Antenna Gain</t>
  </si>
  <si>
    <t>dBi</t>
  </si>
  <si>
    <t>a-f</t>
  </si>
  <si>
    <t>CPICH ERP</t>
  </si>
  <si>
    <t>a+c+d</t>
  </si>
  <si>
    <t>HPA Max Transmit Power</t>
  </si>
  <si>
    <t>Max ERP</t>
  </si>
  <si>
    <t>f+c+d</t>
  </si>
  <si>
    <t>Target Load (Power)</t>
  </si>
  <si>
    <t>ERP at Target Load</t>
  </si>
  <si>
    <t>g+h</t>
  </si>
  <si>
    <t>Thermal Noise Density</t>
  </si>
  <si>
    <t>Information Full Rate</t>
  </si>
  <si>
    <t>dB/Hz</t>
  </si>
  <si>
    <t>dB-Hz</t>
  </si>
  <si>
    <t>Receiver Noise Figure</t>
  </si>
  <si>
    <t>Thermal Noise</t>
  </si>
  <si>
    <t>dBm/Hz</t>
  </si>
  <si>
    <t>j+k+l</t>
  </si>
  <si>
    <t>Ec/No</t>
  </si>
  <si>
    <t>(E/AE)/(M+N*I/AE)</t>
  </si>
  <si>
    <t>RSCP from Target Cell</t>
  </si>
  <si>
    <t>e-ae-ad</t>
  </si>
  <si>
    <t>Minimum Target RSCP</t>
  </si>
  <si>
    <t>Receive Antenna Gain</t>
  </si>
  <si>
    <t>Rx attenuation &amp; gain</t>
  </si>
  <si>
    <t>s+t</t>
  </si>
  <si>
    <t>Cell Edge Probability</t>
  </si>
  <si>
    <t>Standard Deviation</t>
  </si>
  <si>
    <t>Soft HO Gain</t>
  </si>
  <si>
    <t>Log Normal Fading</t>
  </si>
  <si>
    <t>sqrt[NORMINV(v,0,w) - NORMINV(1-sqrt(1-v)),0,w)] * [1.6 - (8-w)/10]</t>
  </si>
  <si>
    <t>Diversity Gain</t>
  </si>
  <si>
    <t>Car Pentration Loss</t>
  </si>
  <si>
    <t>Building Pentration Loss</t>
  </si>
  <si>
    <t>Body Loss</t>
  </si>
  <si>
    <t>x+y+z+aa+ab+ac</t>
  </si>
  <si>
    <t>q-ad</t>
  </si>
  <si>
    <t>Max Allowable Path Loss - MAPL</t>
  </si>
  <si>
    <t>Propagation Components</t>
  </si>
  <si>
    <t>-NORMINV(v,0,w)</t>
  </si>
  <si>
    <t>e-r+ad+u</t>
  </si>
  <si>
    <t>W</t>
  </si>
  <si>
    <t>W/Hz</t>
  </si>
  <si>
    <r>
      <t xml:space="preserve">Ioc/Ior^ </t>
    </r>
    <r>
      <rPr>
        <i/>
        <sz val="11"/>
        <color rgb="FFFF0000"/>
        <rFont val="Calibri"/>
        <family val="2"/>
        <scheme val="minor"/>
      </rPr>
      <t>(little i)</t>
    </r>
  </si>
  <si>
    <r>
      <t xml:space="preserve">Minimum Ec/No  </t>
    </r>
    <r>
      <rPr>
        <i/>
        <sz val="11"/>
        <color rgb="FFFF0000"/>
        <rFont val="Calibri"/>
        <family val="2"/>
        <scheme val="minor"/>
      </rPr>
      <t>(Eb/No-PG)</t>
    </r>
  </si>
  <si>
    <t>10*log(kT)</t>
  </si>
  <si>
    <t>10*log(3840000)</t>
  </si>
  <si>
    <t>RSCP coverage: pl refer Sheet "Link Budget - CPICH"</t>
  </si>
  <si>
    <t>Sigma</t>
  </si>
  <si>
    <t>Pent. Loss</t>
  </si>
  <si>
    <t>Input (Drop down)</t>
  </si>
  <si>
    <t>Input (from table)</t>
  </si>
  <si>
    <t>Input (i=65%)</t>
  </si>
  <si>
    <t>RSCP Cut-off Values</t>
  </si>
  <si>
    <t>Rx_Lev</t>
  </si>
  <si>
    <t>Target RSCP (counting propagation components)</t>
  </si>
  <si>
    <t>with all losses</t>
  </si>
  <si>
    <t>Street level</t>
  </si>
  <si>
    <t>UplinkStart</t>
  </si>
  <si>
    <t>UplinkStop</t>
  </si>
  <si>
    <t>DownlinkStart</t>
  </si>
  <si>
    <t>DownlinkStop</t>
  </si>
  <si>
    <t>BW spacing</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</si>
</sst>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00"/>
    <numFmt numFmtId="166" formatCode="0.0000"/>
    <numFmt numFmtId="167" formatCode="0.0%"/>
    <numFmt numFmtId="168" formatCode="0.00000"/>
    <numFmt numFmtId="170" formatCode="0.0E+00"/>
  </numFmts>
  <fonts count="13" x14ac:knownFonts="1">
    <font>
      <sz val="11"/>
      <color theme="1"/>
      <name val="Calibri"/>
      <family val="2"/>
      <scheme val="minor"/>
    </font>
    <font>
      <b/>
      <sz val="11"/>
      <color theme="1"/>
      <name val="Calibri"/>
      <family val="2"/>
      <scheme val="minor"/>
    </font>
    <font>
      <b/>
      <i/>
      <sz val="11"/>
      <color theme="1"/>
      <name val="Calibri"/>
      <family val="2"/>
      <scheme val="minor"/>
    </font>
    <font>
      <sz val="11"/>
      <color theme="1"/>
      <name val="Calibri"/>
      <family val="2"/>
      <scheme val="minor"/>
    </font>
    <font>
      <sz val="11"/>
      <color rgb="FFFF0000"/>
      <name val="Calibri"/>
      <family val="2"/>
      <scheme val="minor"/>
    </font>
    <font>
      <b/>
      <sz val="10"/>
      <name val="Arial"/>
      <family val="2"/>
    </font>
    <font>
      <sz val="10"/>
      <name val="Arial"/>
      <family val="2"/>
    </font>
    <font>
      <sz val="9"/>
      <color theme="1"/>
      <name val="Calibri"/>
      <family val="2"/>
      <scheme val="minor"/>
    </font>
    <font>
      <b/>
      <sz val="11"/>
      <color rgb="FF0000FF"/>
      <name val="Calibri"/>
      <family val="2"/>
      <scheme val="minor"/>
    </font>
    <font>
      <b/>
      <sz val="11"/>
      <color theme="0"/>
      <name val="Calibri"/>
      <family val="2"/>
      <scheme val="minor"/>
    </font>
    <font>
      <b/>
      <sz val="12"/>
      <color theme="1"/>
      <name val="Calibri"/>
      <family val="2"/>
      <scheme val="minor"/>
    </font>
    <font>
      <i/>
      <sz val="11"/>
      <color rgb="FFFF0000"/>
      <name val="Calibri"/>
      <family val="2"/>
      <scheme val="minor"/>
    </font>
    <font>
      <sz val="10"/>
      <name val="Arial"/>
    </font>
  </fonts>
  <fills count="14">
    <fill>
      <patternFill patternType="none"/>
    </fill>
    <fill>
      <patternFill patternType="gray125"/>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9"/>
        <bgColor indexed="64"/>
      </patternFill>
    </fill>
    <fill>
      <patternFill patternType="solid">
        <fgColor rgb="FF002060"/>
        <bgColor indexed="64"/>
      </patternFill>
    </fill>
    <fill>
      <patternFill patternType="solid">
        <fgColor indexed="9"/>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rgb="FFFF3399"/>
        <bgColor indexed="64"/>
      </patternFill>
    </fill>
    <fill>
      <patternFill patternType="solid">
        <fgColor theme="0" tint="-0.14999847407452621"/>
        <bgColor indexed="64"/>
      </patternFill>
    </fill>
    <fill>
      <patternFill patternType="solid">
        <fgColor theme="1" tint="4.9989318521683403E-2"/>
        <bgColor indexed="64"/>
      </patternFill>
    </fill>
    <fill>
      <patternFill patternType="solid">
        <fgColor theme="3" tint="-0.49998474074526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9" fontId="3" fillId="0" borderId="0" applyFont="0" applyFill="0" applyBorder="0" applyAlignment="0" applyProtection="0"/>
    <xf numFmtId="0" fontId="6" fillId="0" borderId="0"/>
    <xf numFmtId="9" fontId="6" fillId="0" borderId="0" applyFont="0" applyFill="0" applyBorder="0" applyAlignment="0" applyProtection="0"/>
    <xf numFmtId="0" fontId="12" fillId="0" borderId="0"/>
  </cellStyleXfs>
  <cellXfs count="108">
    <xf numFmtId="0" fontId="0" fillId="0" borderId="0" xfId="0"/>
    <xf numFmtId="0" fontId="0" fillId="0" borderId="0" xfId="0" applyAlignment="1">
      <alignment vertical="center"/>
    </xf>
    <xf numFmtId="0" fontId="1" fillId="0" borderId="0" xfId="0" applyFont="1" applyAlignment="1">
      <alignment vertical="center"/>
    </xf>
    <xf numFmtId="0" fontId="0" fillId="0" borderId="0" xfId="0" applyAlignment="1">
      <alignment horizontal="center" vertical="center"/>
    </xf>
    <xf numFmtId="164" fontId="0" fillId="0" borderId="0" xfId="0" applyNumberFormat="1" applyAlignment="1">
      <alignment vertical="center"/>
    </xf>
    <xf numFmtId="0" fontId="0" fillId="0" borderId="0" xfId="0" quotePrefix="1" applyAlignment="1">
      <alignment vertical="center"/>
    </xf>
    <xf numFmtId="0" fontId="1" fillId="3" borderId="0" xfId="0" applyFont="1" applyFill="1" applyAlignment="1">
      <alignment vertical="center"/>
    </xf>
    <xf numFmtId="0" fontId="0" fillId="0" borderId="0" xfId="0" applyFont="1" applyAlignment="1">
      <alignment vertical="center"/>
    </xf>
    <xf numFmtId="0" fontId="1" fillId="4" borderId="0" xfId="0" applyFont="1" applyFill="1" applyAlignment="1">
      <alignment vertical="center"/>
    </xf>
    <xf numFmtId="164" fontId="1" fillId="4" borderId="0" xfId="0" applyNumberFormat="1" applyFont="1" applyFill="1" applyAlignment="1">
      <alignment vertical="center"/>
    </xf>
    <xf numFmtId="2" fontId="0" fillId="0" borderId="0" xfId="0" applyNumberFormat="1" applyAlignment="1">
      <alignment vertical="center"/>
    </xf>
    <xf numFmtId="0" fontId="0" fillId="2" borderId="0" xfId="0" applyFill="1" applyAlignment="1">
      <alignment vertical="center"/>
    </xf>
    <xf numFmtId="2" fontId="1" fillId="0" borderId="0" xfId="0" applyNumberFormat="1" applyFont="1" applyAlignment="1">
      <alignment vertical="center"/>
    </xf>
    <xf numFmtId="2" fontId="1" fillId="3" borderId="0" xfId="0" applyNumberFormat="1" applyFont="1" applyFill="1" applyAlignment="1">
      <alignment vertical="center"/>
    </xf>
    <xf numFmtId="165" fontId="0" fillId="0" borderId="0" xfId="0" applyNumberFormat="1" applyAlignment="1">
      <alignment horizontal="center" vertical="center"/>
    </xf>
    <xf numFmtId="0" fontId="0" fillId="2" borderId="0" xfId="0" applyFill="1" applyAlignment="1">
      <alignment horizontal="center" vertical="center"/>
    </xf>
    <xf numFmtId="0" fontId="1" fillId="2" borderId="0" xfId="0" applyFont="1" applyFill="1" applyAlignment="1">
      <alignment horizontal="center" vertical="center"/>
    </xf>
    <xf numFmtId="164" fontId="0" fillId="2" borderId="0" xfId="0" applyNumberFormat="1" applyFill="1" applyAlignment="1">
      <alignment horizontal="center" vertical="center"/>
    </xf>
    <xf numFmtId="164" fontId="1" fillId="0" borderId="0" xfId="0" applyNumberFormat="1" applyFont="1" applyAlignment="1">
      <alignment horizontal="center" vertical="center"/>
    </xf>
    <xf numFmtId="164" fontId="0" fillId="0" borderId="0" xfId="0" applyNumberFormat="1" applyAlignment="1">
      <alignment horizontal="center" vertical="center"/>
    </xf>
    <xf numFmtId="1" fontId="0" fillId="0" borderId="0" xfId="0" applyNumberFormat="1" applyAlignment="1">
      <alignment horizontal="center" vertical="center"/>
    </xf>
    <xf numFmtId="164" fontId="0" fillId="2" borderId="0" xfId="0" applyNumberFormat="1" applyFont="1" applyFill="1" applyAlignment="1">
      <alignment horizontal="center" vertical="center"/>
    </xf>
    <xf numFmtId="164" fontId="1" fillId="4" borderId="0" xfId="0" applyNumberFormat="1" applyFont="1" applyFill="1" applyAlignment="1">
      <alignment horizontal="center" vertical="center"/>
    </xf>
    <xf numFmtId="2" fontId="1" fillId="4" borderId="0" xfId="0" applyNumberFormat="1" applyFont="1" applyFill="1" applyAlignment="1">
      <alignment horizontal="center" vertical="center"/>
    </xf>
    <xf numFmtId="0" fontId="2" fillId="0" borderId="0" xfId="0" applyFont="1" applyAlignment="1">
      <alignment horizontal="left" vertical="center"/>
    </xf>
    <xf numFmtId="0" fontId="1" fillId="5" borderId="0" xfId="0" applyFont="1" applyFill="1" applyAlignment="1">
      <alignment vertical="center"/>
    </xf>
    <xf numFmtId="0" fontId="1" fillId="3" borderId="0" xfId="0" applyFont="1" applyFill="1" applyAlignment="1">
      <alignment vertical="center" wrapText="1"/>
    </xf>
    <xf numFmtId="0" fontId="1" fillId="0" borderId="0" xfId="0" applyFont="1" applyAlignment="1">
      <alignment horizontal="center" vertical="center"/>
    </xf>
    <xf numFmtId="0" fontId="0" fillId="2" borderId="0" xfId="0" applyFont="1" applyFill="1" applyAlignment="1">
      <alignment horizontal="center" vertical="center"/>
    </xf>
    <xf numFmtId="0" fontId="0" fillId="5" borderId="0" xfId="0" applyFill="1" applyAlignment="1">
      <alignment vertical="center"/>
    </xf>
    <xf numFmtId="0" fontId="1" fillId="3" borderId="0" xfId="0" applyFont="1" applyFill="1" applyAlignment="1">
      <alignment horizontal="center" vertical="center"/>
    </xf>
    <xf numFmtId="0" fontId="1" fillId="3" borderId="0" xfId="0" applyFont="1" applyFill="1" applyAlignment="1">
      <alignment horizontal="center" vertical="center" wrapText="1"/>
    </xf>
    <xf numFmtId="164" fontId="1" fillId="3" borderId="0" xfId="0" applyNumberFormat="1" applyFont="1" applyFill="1" applyAlignment="1">
      <alignment horizontal="center" vertical="center"/>
    </xf>
    <xf numFmtId="9" fontId="0" fillId="0" borderId="0" xfId="0" applyNumberFormat="1" applyAlignment="1">
      <alignment horizontal="center" vertical="center"/>
    </xf>
    <xf numFmtId="9" fontId="1" fillId="2" borderId="0" xfId="1" applyFont="1" applyFill="1" applyAlignment="1">
      <alignment horizontal="center" vertical="center"/>
    </xf>
    <xf numFmtId="0" fontId="0" fillId="0" borderId="0" xfId="0" applyAlignment="1">
      <alignment horizontal="center"/>
    </xf>
    <xf numFmtId="0" fontId="1" fillId="0" borderId="0" xfId="0" applyFont="1" applyAlignment="1">
      <alignment horizontal="center"/>
    </xf>
    <xf numFmtId="0" fontId="0" fillId="0" borderId="0" xfId="0" applyAlignment="1">
      <alignment horizontal="left" vertical="center"/>
    </xf>
    <xf numFmtId="0" fontId="0" fillId="2" borderId="0" xfId="0" applyFill="1" applyAlignment="1">
      <alignment horizontal="left" vertical="center"/>
    </xf>
    <xf numFmtId="0" fontId="0" fillId="5" borderId="0" xfId="0" applyFill="1" applyAlignment="1">
      <alignment horizontal="left" vertical="center"/>
    </xf>
    <xf numFmtId="0" fontId="0" fillId="0" borderId="0" xfId="0" quotePrefix="1" applyAlignment="1">
      <alignment horizontal="left" vertical="center"/>
    </xf>
    <xf numFmtId="166" fontId="0" fillId="0" borderId="0" xfId="0" applyNumberFormat="1" applyAlignment="1">
      <alignment horizontal="center"/>
    </xf>
    <xf numFmtId="0" fontId="1" fillId="0" borderId="0" xfId="0" applyFont="1" applyAlignment="1">
      <alignment horizontal="right" vertical="center"/>
    </xf>
    <xf numFmtId="164" fontId="0" fillId="0" borderId="0" xfId="0" applyNumberFormat="1" applyFill="1" applyAlignment="1">
      <alignment horizontal="center" vertical="center"/>
    </xf>
    <xf numFmtId="2" fontId="1" fillId="3" borderId="0" xfId="0" applyNumberFormat="1" applyFont="1" applyFill="1" applyAlignment="1">
      <alignment horizontal="center" vertical="center"/>
    </xf>
    <xf numFmtId="167" fontId="1" fillId="4" borderId="0" xfId="1" applyNumberFormat="1" applyFont="1" applyFill="1" applyAlignment="1">
      <alignment horizontal="center" vertical="center"/>
    </xf>
    <xf numFmtId="0" fontId="0" fillId="0" borderId="0" xfId="0" applyFont="1" applyAlignment="1">
      <alignment horizontal="center" vertical="center"/>
    </xf>
    <xf numFmtId="164" fontId="1" fillId="2" borderId="0" xfId="0" applyNumberFormat="1" applyFont="1" applyFill="1" applyAlignment="1">
      <alignment horizontal="center" vertical="center"/>
    </xf>
    <xf numFmtId="168" fontId="0" fillId="0" borderId="0" xfId="0" applyNumberFormat="1" applyAlignment="1">
      <alignment horizontal="center" vertical="center"/>
    </xf>
    <xf numFmtId="164" fontId="0" fillId="0" borderId="0" xfId="0" applyNumberFormat="1" applyFont="1" applyAlignment="1">
      <alignment horizontal="center" vertical="center"/>
    </xf>
    <xf numFmtId="0" fontId="5" fillId="2" borderId="1" xfId="0" applyFont="1" applyFill="1" applyBorder="1" applyAlignment="1">
      <alignment horizontal="center" wrapText="1"/>
    </xf>
    <xf numFmtId="0" fontId="5" fillId="7" borderId="1" xfId="0" applyFont="1" applyFill="1" applyBorder="1" applyAlignment="1">
      <alignment horizontal="center"/>
    </xf>
    <xf numFmtId="0" fontId="0" fillId="0" borderId="1" xfId="0" applyFill="1" applyBorder="1" applyAlignment="1">
      <alignment horizontal="center"/>
    </xf>
    <xf numFmtId="0" fontId="1" fillId="3" borderId="1" xfId="0" applyFont="1" applyFill="1" applyBorder="1" applyAlignment="1">
      <alignment horizontal="center" vertical="center"/>
    </xf>
    <xf numFmtId="0" fontId="0" fillId="8" borderId="0" xfId="0" applyFill="1" applyAlignment="1">
      <alignment vertical="center"/>
    </xf>
    <xf numFmtId="0" fontId="0" fillId="8" borderId="0" xfId="0" applyFont="1" applyFill="1" applyAlignment="1">
      <alignment vertical="center"/>
    </xf>
    <xf numFmtId="0" fontId="1" fillId="8" borderId="0" xfId="0" applyFont="1" applyFill="1" applyAlignment="1">
      <alignment vertical="center"/>
    </xf>
    <xf numFmtId="9" fontId="1" fillId="2" borderId="0" xfId="0" applyNumberFormat="1" applyFont="1" applyFill="1" applyAlignment="1">
      <alignment horizontal="center" vertical="center"/>
    </xf>
    <xf numFmtId="1" fontId="1" fillId="2" borderId="0" xfId="0" applyNumberFormat="1" applyFont="1" applyFill="1" applyAlignment="1">
      <alignment horizontal="center" vertical="center"/>
    </xf>
    <xf numFmtId="0" fontId="1" fillId="0" borderId="0" xfId="0" applyFont="1" applyFill="1" applyAlignment="1">
      <alignment horizontal="right" vertical="center"/>
    </xf>
    <xf numFmtId="0" fontId="0" fillId="0" borderId="0" xfId="0" applyFill="1" applyAlignment="1">
      <alignment vertical="center"/>
    </xf>
    <xf numFmtId="0" fontId="7" fillId="0" borderId="0" xfId="0" applyFont="1" applyAlignment="1">
      <alignment horizontal="left" vertical="center"/>
    </xf>
    <xf numFmtId="2" fontId="0" fillId="2" borderId="0" xfId="0" applyNumberFormat="1" applyFont="1" applyFill="1" applyAlignment="1">
      <alignment horizontal="center" vertical="center"/>
    </xf>
    <xf numFmtId="164" fontId="0" fillId="0" borderId="0" xfId="0" applyNumberFormat="1" applyAlignment="1">
      <alignment horizontal="left" vertical="center"/>
    </xf>
    <xf numFmtId="0" fontId="1" fillId="9" borderId="0" xfId="0" applyFont="1" applyFill="1" applyAlignment="1">
      <alignment horizontal="center" vertical="center"/>
    </xf>
    <xf numFmtId="0" fontId="0" fillId="9" borderId="0" xfId="0" applyFill="1" applyAlignment="1">
      <alignment horizontal="center" vertical="center"/>
    </xf>
    <xf numFmtId="1" fontId="1" fillId="9" borderId="0" xfId="0" applyNumberFormat="1" applyFont="1" applyFill="1" applyAlignment="1">
      <alignment horizontal="center" vertical="center"/>
    </xf>
    <xf numFmtId="0" fontId="0" fillId="9" borderId="0" xfId="0" applyFill="1" applyAlignment="1">
      <alignment vertical="center"/>
    </xf>
    <xf numFmtId="2" fontId="0" fillId="9" borderId="0" xfId="0" applyNumberFormat="1" applyFont="1" applyFill="1" applyAlignment="1">
      <alignment horizontal="center" vertical="center"/>
    </xf>
    <xf numFmtId="164" fontId="0" fillId="9" borderId="0" xfId="0" applyNumberFormat="1" applyFill="1" applyAlignment="1">
      <alignment horizontal="center" vertical="center"/>
    </xf>
    <xf numFmtId="164" fontId="1" fillId="9" borderId="0" xfId="0" applyNumberFormat="1" applyFont="1" applyFill="1" applyAlignment="1">
      <alignment horizontal="center" vertical="center"/>
    </xf>
    <xf numFmtId="1" fontId="0" fillId="9" borderId="0" xfId="0" applyNumberFormat="1" applyFill="1" applyAlignment="1">
      <alignment horizontal="center" vertical="center"/>
    </xf>
    <xf numFmtId="164" fontId="0" fillId="9" borderId="0" xfId="0" applyNumberFormat="1" applyFont="1" applyFill="1" applyAlignment="1">
      <alignment horizontal="center" vertical="center"/>
    </xf>
    <xf numFmtId="168" fontId="0" fillId="9" borderId="0" xfId="0" applyNumberFormat="1" applyFill="1" applyAlignment="1">
      <alignment horizontal="center" vertical="center"/>
    </xf>
    <xf numFmtId="2" fontId="1" fillId="9" borderId="0" xfId="0" applyNumberFormat="1" applyFont="1" applyFill="1" applyAlignment="1">
      <alignment horizontal="center" vertical="center"/>
    </xf>
    <xf numFmtId="0" fontId="0" fillId="10" borderId="0" xfId="0" applyFill="1" applyAlignment="1">
      <alignment horizontal="center" vertical="center"/>
    </xf>
    <xf numFmtId="0" fontId="1" fillId="10" borderId="0" xfId="0" applyFont="1" applyFill="1" applyAlignment="1">
      <alignment horizontal="left" vertical="center"/>
    </xf>
    <xf numFmtId="0" fontId="1" fillId="3" borderId="0" xfId="0" applyFont="1" applyFill="1" applyAlignment="1">
      <alignment horizontal="right" vertical="center"/>
    </xf>
    <xf numFmtId="0" fontId="1" fillId="4" borderId="0" xfId="0" applyFont="1" applyFill="1" applyAlignment="1">
      <alignment horizontal="right" vertical="center"/>
    </xf>
    <xf numFmtId="1" fontId="1" fillId="4" borderId="0" xfId="0" applyNumberFormat="1" applyFont="1" applyFill="1" applyAlignment="1">
      <alignment horizontal="center" vertical="center"/>
    </xf>
    <xf numFmtId="0" fontId="0" fillId="0" borderId="0" xfId="0" applyAlignment="1">
      <alignment vertical="center" wrapText="1"/>
    </xf>
    <xf numFmtId="0" fontId="1" fillId="9" borderId="0" xfId="0" applyFont="1" applyFill="1" applyAlignment="1">
      <alignment vertical="center"/>
    </xf>
    <xf numFmtId="0" fontId="1" fillId="0" borderId="0" xfId="0" applyFont="1"/>
    <xf numFmtId="0" fontId="1" fillId="9" borderId="0" xfId="0" applyFont="1" applyFill="1"/>
    <xf numFmtId="0" fontId="1" fillId="9" borderId="0" xfId="0" applyFont="1" applyFill="1" applyAlignment="1">
      <alignment horizontal="center"/>
    </xf>
    <xf numFmtId="0" fontId="9" fillId="6" borderId="0" xfId="0" applyFont="1" applyFill="1" applyAlignment="1">
      <alignment vertical="center"/>
    </xf>
    <xf numFmtId="0" fontId="1" fillId="10" borderId="0" xfId="0" applyFont="1" applyFill="1" applyAlignment="1">
      <alignment horizontal="center" vertical="center"/>
    </xf>
    <xf numFmtId="0" fontId="10" fillId="3" borderId="0" xfId="0" applyFont="1" applyFill="1" applyAlignment="1">
      <alignment vertical="center"/>
    </xf>
    <xf numFmtId="0" fontId="1" fillId="0" borderId="0" xfId="0" applyFont="1" applyAlignment="1">
      <alignment vertical="center" wrapText="1"/>
    </xf>
    <xf numFmtId="0" fontId="1" fillId="11" borderId="0" xfId="0" applyFont="1" applyFill="1" applyAlignment="1">
      <alignment vertical="center"/>
    </xf>
    <xf numFmtId="0" fontId="1" fillId="9" borderId="0" xfId="0" applyFont="1" applyFill="1" applyAlignment="1">
      <alignment horizontal="right" vertical="center"/>
    </xf>
    <xf numFmtId="164" fontId="8" fillId="9" borderId="0" xfId="0" applyNumberFormat="1" applyFont="1" applyFill="1" applyAlignment="1">
      <alignment horizontal="center" vertical="center"/>
    </xf>
    <xf numFmtId="0" fontId="0" fillId="2" borderId="0" xfId="0" applyFill="1" applyAlignment="1">
      <alignment horizontal="center"/>
    </xf>
    <xf numFmtId="0" fontId="0" fillId="0" borderId="0" xfId="0" quotePrefix="1" applyAlignment="1">
      <alignment horizontal="center"/>
    </xf>
    <xf numFmtId="164" fontId="0" fillId="0" borderId="0" xfId="0" applyNumberFormat="1"/>
    <xf numFmtId="0" fontId="0" fillId="0" borderId="0" xfId="0" applyAlignment="1">
      <alignment horizontal="left"/>
    </xf>
    <xf numFmtId="170" fontId="0" fillId="0" borderId="0" xfId="0" applyNumberFormat="1"/>
    <xf numFmtId="164" fontId="0" fillId="0" borderId="0" xfId="0" applyNumberFormat="1" applyAlignment="1">
      <alignment horizontal="center"/>
    </xf>
    <xf numFmtId="164" fontId="1" fillId="3" borderId="0" xfId="0" applyNumberFormat="1" applyFont="1" applyFill="1" applyAlignment="1">
      <alignment horizontal="center"/>
    </xf>
    <xf numFmtId="164" fontId="1" fillId="2" borderId="0" xfId="0" applyNumberFormat="1" applyFont="1" applyFill="1" applyAlignment="1">
      <alignment horizontal="center"/>
    </xf>
    <xf numFmtId="2" fontId="1" fillId="2" borderId="0" xfId="0" applyNumberFormat="1" applyFont="1" applyFill="1" applyAlignment="1">
      <alignment horizontal="center"/>
    </xf>
    <xf numFmtId="0" fontId="9" fillId="13" borderId="0" xfId="0" applyFont="1" applyFill="1" applyAlignment="1">
      <alignment horizontal="center"/>
    </xf>
    <xf numFmtId="0" fontId="9" fillId="12" borderId="0" xfId="0" applyFont="1" applyFill="1" applyAlignment="1">
      <alignment horizontal="center"/>
    </xf>
    <xf numFmtId="0" fontId="1" fillId="2" borderId="0" xfId="0" applyFont="1" applyFill="1"/>
    <xf numFmtId="0" fontId="0" fillId="2" borderId="0" xfId="0" applyFill="1"/>
    <xf numFmtId="1" fontId="0" fillId="2" borderId="0" xfId="0" applyNumberFormat="1" applyFill="1" applyAlignment="1">
      <alignment horizontal="center"/>
    </xf>
    <xf numFmtId="0" fontId="1" fillId="2" borderId="0" xfId="0" applyFont="1" applyFill="1" applyAlignment="1">
      <alignment horizontal="center"/>
    </xf>
    <xf numFmtId="0" fontId="0" fillId="0" borderId="0" xfId="0" applyAlignment="1">
      <alignment horizontal="left" vertical="center" wrapText="1"/>
    </xf>
  </cellXfs>
  <cellStyles count="5">
    <cellStyle name=" Task]_x000d__x000a_TaskName=Scan At_x000d__x000a_TaskID=3_x000d__x000a_WorkstationName=SmarTone_x000d__x000a_LastExecuted=0_x000d__x000a_LastSt" xfId="4"/>
    <cellStyle name="Normal" xfId="0" builtinId="0"/>
    <cellStyle name="Normal 2" xfId="2"/>
    <cellStyle name="Percent" xfId="1" builtinId="5"/>
    <cellStyle name="Percent 2" xfId="3"/>
  </cellStyles>
  <dxfs count="0"/>
  <tableStyles count="0" defaultTableStyle="TableStyleMedium9" defaultPivotStyle="PivotStyleLight16"/>
  <colors>
    <mruColors>
      <color rgb="FF0000FF"/>
      <color rgb="FFFF33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44"/>
    </mc:Choice>
    <mc:Fallback>
      <c:style val="44"/>
    </mc:Fallback>
  </mc:AlternateContent>
  <c:chart>
    <c:autoTitleDeleted val="1"/>
    <c:plotArea>
      <c:layout>
        <c:manualLayout>
          <c:layoutTarget val="inner"/>
          <c:xMode val="edge"/>
          <c:yMode val="edge"/>
          <c:x val="7.5489916642118432E-2"/>
          <c:y val="2.2263218902438396E-2"/>
          <c:w val="0.90446969154133749"/>
          <c:h val="0.80038138546020321"/>
        </c:manualLayout>
      </c:layout>
      <c:scatterChart>
        <c:scatterStyle val="smoothMarker"/>
        <c:varyColors val="0"/>
        <c:ser>
          <c:idx val="0"/>
          <c:order val="0"/>
          <c:tx>
            <c:strRef>
              <c:f>'Hata Okumara Model'!$X$1</c:f>
              <c:strCache>
                <c:ptCount val="1"/>
                <c:pt idx="0">
                  <c:v>Path Loss [dB]</c:v>
                </c:pt>
              </c:strCache>
            </c:strRef>
          </c:tx>
          <c:spPr>
            <a:ln w="31750">
              <a:solidFill>
                <a:srgbClr val="00FF00"/>
              </a:solidFill>
            </a:ln>
          </c:spPr>
          <c:marker>
            <c:symbol val="none"/>
          </c:marker>
          <c:xVal>
            <c:numRef>
              <c:f>'Hata Okumara Model'!$W$2:$W$20</c:f>
              <c:numCache>
                <c:formatCode>0.000</c:formatCode>
                <c:ptCount val="19"/>
                <c:pt idx="0">
                  <c:v>4.7088994025867949E-2</c:v>
                </c:pt>
                <c:pt idx="1">
                  <c:v>6.4983786565006696E-2</c:v>
                </c:pt>
                <c:pt idx="2">
                  <c:v>8.9678970716735487E-2</c:v>
                </c:pt>
                <c:pt idx="3">
                  <c:v>0.12375883607163995</c:v>
                </c:pt>
                <c:pt idx="4">
                  <c:v>0.17078975576320701</c:v>
                </c:pt>
                <c:pt idx="5">
                  <c:v>0.23569339854465696</c:v>
                </c:pt>
                <c:pt idx="6">
                  <c:v>0.32526176918099359</c:v>
                </c:pt>
                <c:pt idx="7">
                  <c:v>0.44886797485210389</c:v>
                </c:pt>
                <c:pt idx="8">
                  <c:v>0.61944709750291305</c:v>
                </c:pt>
                <c:pt idx="9">
                  <c:v>0.85484981799205528</c:v>
                </c:pt>
                <c:pt idx="10">
                  <c:v>1.1797104454389884</c:v>
                </c:pt>
                <c:pt idx="11">
                  <c:v>1.628024836393883</c:v>
                </c:pt>
                <c:pt idx="12">
                  <c:v>2.2467079766586711</c:v>
                </c:pt>
                <c:pt idx="13">
                  <c:v>3.1005035178471099</c:v>
                </c:pt>
                <c:pt idx="14">
                  <c:v>4.2787590394720745</c:v>
                </c:pt>
                <c:pt idx="15">
                  <c:v>5.9047760508836085</c:v>
                </c:pt>
                <c:pt idx="16">
                  <c:v>8.1487131875018033</c:v>
                </c:pt>
                <c:pt idx="17">
                  <c:v>11.245392888732711</c:v>
                </c:pt>
                <c:pt idx="18">
                  <c:v>15.518874982115973</c:v>
                </c:pt>
              </c:numCache>
            </c:numRef>
          </c:xVal>
          <c:yVal>
            <c:numRef>
              <c:f>'Hata Okumara Model'!$X$2:$X$20</c:f>
              <c:numCache>
                <c:formatCode>General</c:formatCode>
                <c:ptCount val="19"/>
                <c:pt idx="0">
                  <c:v>80</c:v>
                </c:pt>
                <c:pt idx="1">
                  <c:v>85</c:v>
                </c:pt>
                <c:pt idx="2">
                  <c:v>90</c:v>
                </c:pt>
                <c:pt idx="3">
                  <c:v>95</c:v>
                </c:pt>
                <c:pt idx="4">
                  <c:v>100</c:v>
                </c:pt>
                <c:pt idx="5">
                  <c:v>105</c:v>
                </c:pt>
                <c:pt idx="6">
                  <c:v>110</c:v>
                </c:pt>
                <c:pt idx="7">
                  <c:v>115</c:v>
                </c:pt>
                <c:pt idx="8">
                  <c:v>120</c:v>
                </c:pt>
                <c:pt idx="9">
                  <c:v>125</c:v>
                </c:pt>
                <c:pt idx="10">
                  <c:v>130</c:v>
                </c:pt>
                <c:pt idx="11">
                  <c:v>135</c:v>
                </c:pt>
                <c:pt idx="12">
                  <c:v>140</c:v>
                </c:pt>
                <c:pt idx="13">
                  <c:v>145</c:v>
                </c:pt>
                <c:pt idx="14">
                  <c:v>150</c:v>
                </c:pt>
                <c:pt idx="15">
                  <c:v>155</c:v>
                </c:pt>
                <c:pt idx="16">
                  <c:v>160</c:v>
                </c:pt>
                <c:pt idx="17">
                  <c:v>165</c:v>
                </c:pt>
                <c:pt idx="18">
                  <c:v>170</c:v>
                </c:pt>
              </c:numCache>
            </c:numRef>
          </c:yVal>
          <c:smooth val="1"/>
        </c:ser>
        <c:dLbls>
          <c:showLegendKey val="0"/>
          <c:showVal val="0"/>
          <c:showCatName val="0"/>
          <c:showSerName val="0"/>
          <c:showPercent val="0"/>
          <c:showBubbleSize val="0"/>
        </c:dLbls>
        <c:axId val="213373128"/>
        <c:axId val="386559608"/>
      </c:scatterChart>
      <c:valAx>
        <c:axId val="213373128"/>
        <c:scaling>
          <c:orientation val="minMax"/>
          <c:max val="4"/>
          <c:min val="0"/>
        </c:scaling>
        <c:delete val="0"/>
        <c:axPos val="b"/>
        <c:majorGridlines/>
        <c:minorGridlines/>
        <c:title>
          <c:tx>
            <c:rich>
              <a:bodyPr/>
              <a:lstStyle/>
              <a:p>
                <a:pPr>
                  <a:defRPr/>
                </a:pPr>
                <a:r>
                  <a:rPr lang="en-US"/>
                  <a:t>Cell Range, Km</a:t>
                </a:r>
              </a:p>
            </c:rich>
          </c:tx>
          <c:layout/>
          <c:overlay val="0"/>
          <c:spPr>
            <a:solidFill>
              <a:srgbClr val="00B0F0"/>
            </a:solidFill>
          </c:spPr>
        </c:title>
        <c:numFmt formatCode="#,##0.00" sourceLinked="0"/>
        <c:majorTickMark val="out"/>
        <c:minorTickMark val="none"/>
        <c:tickLblPos val="nextTo"/>
        <c:crossAx val="386559608"/>
        <c:crosses val="autoZero"/>
        <c:crossBetween val="midCat"/>
        <c:majorUnit val="0.2"/>
        <c:minorUnit val="0.1"/>
      </c:valAx>
      <c:valAx>
        <c:axId val="386559608"/>
        <c:scaling>
          <c:orientation val="minMax"/>
          <c:max val="170"/>
          <c:min val="70"/>
        </c:scaling>
        <c:delete val="0"/>
        <c:axPos val="l"/>
        <c:majorGridlines/>
        <c:minorGridlines/>
        <c:title>
          <c:tx>
            <c:rich>
              <a:bodyPr/>
              <a:lstStyle/>
              <a:p>
                <a:pPr>
                  <a:defRPr/>
                </a:pPr>
                <a:r>
                  <a:rPr lang="en-US"/>
                  <a:t>Path Loss, dB</a:t>
                </a:r>
              </a:p>
            </c:rich>
          </c:tx>
          <c:layout/>
          <c:overlay val="0"/>
          <c:spPr>
            <a:solidFill>
              <a:srgbClr val="FF0000"/>
            </a:solidFill>
          </c:spPr>
        </c:title>
        <c:numFmt formatCode="General" sourceLinked="1"/>
        <c:majorTickMark val="out"/>
        <c:minorTickMark val="none"/>
        <c:tickLblPos val="nextTo"/>
        <c:crossAx val="213373128"/>
        <c:crosses val="autoZero"/>
        <c:crossBetween val="midCat"/>
        <c:majorUnit val="5"/>
        <c:minorUnit val="5"/>
      </c:valAx>
    </c:plotArea>
    <c:plotVisOnly val="1"/>
    <c:dispBlanksAs val="gap"/>
    <c:showDLblsOverMax val="0"/>
  </c:chart>
  <c:printSettings>
    <c:headerFooter/>
    <c:pageMargins b="0.750000000000005" l="0.70000000000000062" r="0.70000000000000062" t="0.750000000000005"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7.png"/><Relationship Id="rId5" Type="http://schemas.openxmlformats.org/officeDocument/2006/relationships/image" Target="../media/image6.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23</xdr:col>
      <xdr:colOff>80963</xdr:colOff>
      <xdr:row>21</xdr:row>
      <xdr:rowOff>159545</xdr:rowOff>
    </xdr:from>
    <xdr:to>
      <xdr:col>25</xdr:col>
      <xdr:colOff>350044</xdr:colOff>
      <xdr:row>25</xdr:row>
      <xdr:rowOff>178595</xdr:rowOff>
    </xdr:to>
    <xdr:pic>
      <xdr:nvPicPr>
        <xdr:cNvPr id="1025" name="Picture 1"/>
        <xdr:cNvPicPr>
          <a:picLocks noChangeAspect="1" noChangeArrowheads="1"/>
        </xdr:cNvPicPr>
      </xdr:nvPicPr>
      <xdr:blipFill>
        <a:blip xmlns:r="http://schemas.openxmlformats.org/officeDocument/2006/relationships" r:embed="rId1"/>
        <a:srcRect/>
        <a:stretch>
          <a:fillRect/>
        </a:stretch>
      </xdr:blipFill>
      <xdr:spPr bwMode="auto">
        <a:xfrm>
          <a:off x="11499057" y="4160045"/>
          <a:ext cx="5174456" cy="781050"/>
        </a:xfrm>
        <a:prstGeom prst="rect">
          <a:avLst/>
        </a:prstGeom>
        <a:noFill/>
        <a:ln w="1">
          <a:noFill/>
          <a:miter lim="800000"/>
          <a:headEnd/>
          <a:tailEnd type="none" w="med" len="med"/>
        </a:ln>
        <a:effec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8</xdr:row>
      <xdr:rowOff>76199</xdr:rowOff>
    </xdr:from>
    <xdr:to>
      <xdr:col>16</xdr:col>
      <xdr:colOff>76200</xdr:colOff>
      <xdr:row>26</xdr:row>
      <xdr:rowOff>142875</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1</xdr:row>
      <xdr:rowOff>38100</xdr:rowOff>
    </xdr:from>
    <xdr:to>
      <xdr:col>7</xdr:col>
      <xdr:colOff>76201</xdr:colOff>
      <xdr:row>39</xdr:row>
      <xdr:rowOff>47625</xdr:rowOff>
    </xdr:to>
    <xdr:grpSp>
      <xdr:nvGrpSpPr>
        <xdr:cNvPr id="4" name="Group 3"/>
        <xdr:cNvGrpSpPr/>
      </xdr:nvGrpSpPr>
      <xdr:grpSpPr>
        <a:xfrm>
          <a:off x="209550" y="228600"/>
          <a:ext cx="4133851" cy="7248525"/>
          <a:chOff x="190500" y="66675"/>
          <a:chExt cx="4133851" cy="7248525"/>
        </a:xfrm>
      </xdr:grpSpPr>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190500" y="66675"/>
            <a:ext cx="4124325" cy="2209800"/>
          </a:xfrm>
          <a:prstGeom prst="rect">
            <a:avLst/>
          </a:prstGeom>
          <a:noFill/>
          <a:ln w="19050">
            <a:solidFill>
              <a:schemeClr val="tx1"/>
            </a:solidFill>
            <a:miter lim="800000"/>
            <a:headEnd/>
            <a:tailEnd type="none" w="med" len="med"/>
          </a:ln>
          <a:effectLst/>
        </xdr:spPr>
      </xdr:pic>
      <xdr:pic>
        <xdr:nvPicPr>
          <xdr:cNvPr id="3" name="Picture 1"/>
          <xdr:cNvPicPr>
            <a:picLocks noChangeAspect="1" noChangeArrowheads="1"/>
          </xdr:cNvPicPr>
        </xdr:nvPicPr>
        <xdr:blipFill>
          <a:blip xmlns:r="http://schemas.openxmlformats.org/officeDocument/2006/relationships" r:embed="rId2"/>
          <a:srcRect/>
          <a:stretch>
            <a:fillRect/>
          </a:stretch>
        </xdr:blipFill>
        <xdr:spPr bwMode="auto">
          <a:xfrm>
            <a:off x="200025" y="2286000"/>
            <a:ext cx="4124326" cy="5029200"/>
          </a:xfrm>
          <a:prstGeom prst="rect">
            <a:avLst/>
          </a:prstGeom>
          <a:noFill/>
          <a:ln w="19050">
            <a:solidFill>
              <a:schemeClr val="tx1"/>
            </a:solidFill>
            <a:miter lim="800000"/>
            <a:headEnd/>
            <a:tailEnd type="none" w="med" len="med"/>
          </a:ln>
          <a:effectLst/>
        </xdr:spPr>
      </xdr:pic>
    </xdr:grpSp>
    <xdr:clientData/>
  </xdr:twoCellAnchor>
  <xdr:twoCellAnchor>
    <xdr:from>
      <xdr:col>7</xdr:col>
      <xdr:colOff>238125</xdr:colOff>
      <xdr:row>1</xdr:row>
      <xdr:rowOff>38101</xdr:rowOff>
    </xdr:from>
    <xdr:to>
      <xdr:col>19</xdr:col>
      <xdr:colOff>123825</xdr:colOff>
      <xdr:row>56</xdr:row>
      <xdr:rowOff>114300</xdr:rowOff>
    </xdr:to>
    <xdr:grpSp>
      <xdr:nvGrpSpPr>
        <xdr:cNvPr id="10" name="Group 9"/>
        <xdr:cNvGrpSpPr/>
      </xdr:nvGrpSpPr>
      <xdr:grpSpPr>
        <a:xfrm>
          <a:off x="4505325" y="228601"/>
          <a:ext cx="7391400" cy="10553699"/>
          <a:chOff x="4505325" y="228601"/>
          <a:chExt cx="7391400" cy="10553699"/>
        </a:xfrm>
      </xdr:grpSpPr>
      <xdr:grpSp>
        <xdr:nvGrpSpPr>
          <xdr:cNvPr id="5" name="Group 4"/>
          <xdr:cNvGrpSpPr/>
        </xdr:nvGrpSpPr>
        <xdr:grpSpPr>
          <a:xfrm>
            <a:off x="4524375" y="228601"/>
            <a:ext cx="7372350" cy="4362449"/>
            <a:chOff x="1206549" y="190499"/>
            <a:chExt cx="9537489" cy="5517605"/>
          </a:xfrm>
        </xdr:grpSpPr>
        <xdr:pic>
          <xdr:nvPicPr>
            <xdr:cNvPr id="6" name="Picture 1"/>
            <xdr:cNvPicPr>
              <a:picLocks noChangeAspect="1" noChangeArrowheads="1"/>
            </xdr:cNvPicPr>
          </xdr:nvPicPr>
          <xdr:blipFill>
            <a:blip xmlns:r="http://schemas.openxmlformats.org/officeDocument/2006/relationships" r:embed="rId3"/>
            <a:srcRect/>
            <a:stretch>
              <a:fillRect/>
            </a:stretch>
          </xdr:blipFill>
          <xdr:spPr bwMode="auto">
            <a:xfrm>
              <a:off x="1219200" y="190500"/>
              <a:ext cx="4174351" cy="4038600"/>
            </a:xfrm>
            <a:prstGeom prst="rect">
              <a:avLst/>
            </a:prstGeom>
            <a:noFill/>
            <a:ln w="19050">
              <a:solidFill>
                <a:schemeClr val="tx1"/>
              </a:solidFill>
              <a:miter lim="800000"/>
              <a:headEnd/>
              <a:tailEnd type="none" w="med" len="med"/>
            </a:ln>
            <a:effectLst/>
          </xdr:spPr>
        </xdr:pic>
        <xdr:pic>
          <xdr:nvPicPr>
            <xdr:cNvPr id="7" name="Picture 2"/>
            <xdr:cNvPicPr>
              <a:picLocks noChangeAspect="1" noChangeArrowheads="1"/>
            </xdr:cNvPicPr>
          </xdr:nvPicPr>
          <xdr:blipFill>
            <a:blip xmlns:r="http://schemas.openxmlformats.org/officeDocument/2006/relationships" r:embed="rId4"/>
            <a:srcRect/>
            <a:stretch>
              <a:fillRect/>
            </a:stretch>
          </xdr:blipFill>
          <xdr:spPr bwMode="auto">
            <a:xfrm>
              <a:off x="5343525" y="190499"/>
              <a:ext cx="5400513" cy="5517605"/>
            </a:xfrm>
            <a:prstGeom prst="rect">
              <a:avLst/>
            </a:prstGeom>
            <a:noFill/>
            <a:ln w="19050">
              <a:solidFill>
                <a:schemeClr val="tx1"/>
              </a:solidFill>
              <a:miter lim="800000"/>
              <a:headEnd/>
              <a:tailEnd type="none" w="med" len="med"/>
            </a:ln>
            <a:effectLst/>
          </xdr:spPr>
        </xdr:pic>
        <xdr:pic>
          <xdr:nvPicPr>
            <xdr:cNvPr id="8" name="Picture 3"/>
            <xdr:cNvPicPr>
              <a:picLocks noChangeAspect="1" noChangeArrowheads="1"/>
            </xdr:cNvPicPr>
          </xdr:nvPicPr>
          <xdr:blipFill>
            <a:blip xmlns:r="http://schemas.openxmlformats.org/officeDocument/2006/relationships" r:embed="rId5"/>
            <a:srcRect/>
            <a:stretch>
              <a:fillRect/>
            </a:stretch>
          </xdr:blipFill>
          <xdr:spPr bwMode="auto">
            <a:xfrm>
              <a:off x="1206549" y="4200526"/>
              <a:ext cx="4110987" cy="1495531"/>
            </a:xfrm>
            <a:prstGeom prst="rect">
              <a:avLst/>
            </a:prstGeom>
            <a:noFill/>
            <a:ln w="19050">
              <a:solidFill>
                <a:schemeClr val="tx1"/>
              </a:solidFill>
              <a:miter lim="800000"/>
              <a:headEnd/>
              <a:tailEnd type="none" w="med" len="med"/>
            </a:ln>
            <a:effectLst/>
          </xdr:spPr>
        </xdr:pic>
      </xdr:grpSp>
      <xdr:pic>
        <xdr:nvPicPr>
          <xdr:cNvPr id="3073" name="Picture 1"/>
          <xdr:cNvPicPr>
            <a:picLocks noChangeAspect="1" noChangeArrowheads="1"/>
          </xdr:cNvPicPr>
        </xdr:nvPicPr>
        <xdr:blipFill>
          <a:blip xmlns:r="http://schemas.openxmlformats.org/officeDocument/2006/relationships" r:embed="rId6"/>
          <a:srcRect/>
          <a:stretch>
            <a:fillRect/>
          </a:stretch>
        </xdr:blipFill>
        <xdr:spPr bwMode="auto">
          <a:xfrm>
            <a:off x="4505325" y="4600575"/>
            <a:ext cx="4486275" cy="6181725"/>
          </a:xfrm>
          <a:prstGeom prst="rect">
            <a:avLst/>
          </a:prstGeom>
          <a:noFill/>
          <a:ln w="19050">
            <a:solidFill>
              <a:schemeClr val="tx1"/>
            </a:solidFill>
            <a:miter lim="800000"/>
            <a:headEnd/>
            <a:tailEnd type="none" w="med" len="med"/>
          </a:ln>
          <a:effectLst/>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AS73"/>
  <sheetViews>
    <sheetView showGridLines="0" tabSelected="1" zoomScale="80" zoomScaleNormal="80" workbookViewId="0">
      <pane ySplit="1" topLeftCell="A2" activePane="bottomLeft" state="frozen"/>
      <selection pane="bottomLeft" activeCell="B11" sqref="B11"/>
    </sheetView>
  </sheetViews>
  <sheetFormatPr defaultRowHeight="15" x14ac:dyDescent="0.25"/>
  <cols>
    <col min="1" max="1" width="4.5703125" style="1" customWidth="1"/>
    <col min="2" max="2" width="61" style="1" bestFit="1" customWidth="1"/>
    <col min="3" max="3" width="2.28515625" style="3" customWidth="1"/>
    <col min="4" max="4" width="12.7109375" style="3" bestFit="1" customWidth="1"/>
    <col min="5" max="5" width="1.5703125" style="3" customWidth="1"/>
    <col min="6" max="6" width="9.28515625" style="3" bestFit="1" customWidth="1"/>
    <col min="7" max="7" width="2.28515625" style="3" customWidth="1"/>
    <col min="8" max="8" width="9.5703125" style="3" bestFit="1" customWidth="1"/>
    <col min="9" max="9" width="1.5703125" style="3" customWidth="1"/>
    <col min="10" max="10" width="9.28515625" style="3" bestFit="1" customWidth="1"/>
    <col min="11" max="11" width="2.28515625" style="3" customWidth="1"/>
    <col min="12" max="12" width="10.28515625" style="3" bestFit="1" customWidth="1"/>
    <col min="13" max="13" width="1.5703125" style="3" customWidth="1"/>
    <col min="14" max="14" width="9.28515625" style="3" bestFit="1" customWidth="1"/>
    <col min="15" max="15" width="2.28515625" style="3" customWidth="1"/>
    <col min="16" max="16" width="9.5703125" style="3" bestFit="1" customWidth="1"/>
    <col min="17" max="17" width="1.5703125" style="3" customWidth="1"/>
    <col min="18" max="18" width="9.28515625" style="3" bestFit="1" customWidth="1"/>
    <col min="19" max="19" width="2.28515625" style="3" customWidth="1"/>
    <col min="20" max="20" width="34.5703125" style="3" customWidth="1"/>
    <col min="21" max="21" width="14.28515625" style="37" customWidth="1"/>
    <col min="22" max="22" width="10" style="1" customWidth="1"/>
    <col min="23" max="23" width="38.140625" style="1" customWidth="1"/>
    <col min="24" max="24" width="53.7109375" style="1" customWidth="1"/>
    <col min="25" max="25" width="19.85546875" style="3" bestFit="1" customWidth="1"/>
    <col min="26" max="26" width="8.140625" style="3" bestFit="1" customWidth="1"/>
    <col min="27" max="27" width="55.85546875" style="3" customWidth="1"/>
    <col min="28" max="30" width="12.7109375" style="1" customWidth="1"/>
    <col min="31" max="31" width="17.28515625" style="1" bestFit="1" customWidth="1"/>
    <col min="32" max="44" width="9.140625" style="1"/>
    <col min="45" max="45" width="9.140625" style="54"/>
    <col min="46" max="16384" width="9.140625" style="1"/>
  </cols>
  <sheetData>
    <row r="1" spans="2:45" x14ac:dyDescent="0.25">
      <c r="C1" s="64"/>
      <c r="D1" s="30" t="s">
        <v>73</v>
      </c>
      <c r="E1" s="27"/>
      <c r="F1" s="30" t="s">
        <v>72</v>
      </c>
      <c r="G1" s="64"/>
      <c r="H1" s="30" t="s">
        <v>73</v>
      </c>
      <c r="I1" s="27"/>
      <c r="J1" s="30" t="s">
        <v>72</v>
      </c>
      <c r="K1" s="64"/>
      <c r="L1" s="30" t="s">
        <v>73</v>
      </c>
      <c r="M1" s="27"/>
      <c r="N1" s="30" t="s">
        <v>72</v>
      </c>
      <c r="O1" s="64"/>
      <c r="P1" s="30" t="s">
        <v>73</v>
      </c>
      <c r="Q1" s="27"/>
      <c r="R1" s="30" t="s">
        <v>72</v>
      </c>
      <c r="S1" s="64"/>
      <c r="U1" s="30" t="s">
        <v>132</v>
      </c>
      <c r="V1" s="30" t="s">
        <v>133</v>
      </c>
    </row>
    <row r="2" spans="2:45" ht="18" customHeight="1" x14ac:dyDescent="0.2">
      <c r="C2" s="65"/>
      <c r="D2" s="76" t="s">
        <v>139</v>
      </c>
      <c r="E2" s="75"/>
      <c r="F2" s="75"/>
      <c r="G2" s="65"/>
      <c r="H2" s="86" t="s">
        <v>140</v>
      </c>
      <c r="I2" s="75"/>
      <c r="J2" s="75"/>
      <c r="K2" s="65"/>
      <c r="L2" s="76" t="s">
        <v>141</v>
      </c>
      <c r="M2" s="75"/>
      <c r="N2" s="75"/>
      <c r="O2" s="65"/>
      <c r="P2" s="86" t="s">
        <v>142</v>
      </c>
      <c r="Q2" s="75"/>
      <c r="R2" s="75"/>
      <c r="S2" s="65"/>
      <c r="T2" s="42" t="s">
        <v>123</v>
      </c>
      <c r="U2" s="34">
        <v>1</v>
      </c>
      <c r="V2" s="34">
        <v>1</v>
      </c>
      <c r="W2" s="1" t="s">
        <v>134</v>
      </c>
      <c r="X2" s="26" t="s">
        <v>51</v>
      </c>
      <c r="Y2" s="30" t="s">
        <v>52</v>
      </c>
      <c r="Z2" s="30" t="s">
        <v>50</v>
      </c>
      <c r="AA2" s="31" t="s">
        <v>61</v>
      </c>
      <c r="AE2" s="50" t="s">
        <v>109</v>
      </c>
      <c r="AF2" s="50" t="s">
        <v>110</v>
      </c>
      <c r="AG2" s="50" t="s">
        <v>111</v>
      </c>
      <c r="AH2" s="50" t="s">
        <v>112</v>
      </c>
      <c r="AI2" s="50" t="s">
        <v>113</v>
      </c>
      <c r="AJ2" s="50" t="s">
        <v>114</v>
      </c>
      <c r="AK2" s="50" t="s">
        <v>115</v>
      </c>
    </row>
    <row r="3" spans="2:45" x14ac:dyDescent="0.25">
      <c r="B3" s="2" t="s">
        <v>17</v>
      </c>
      <c r="C3" s="64"/>
      <c r="D3" s="16">
        <v>12.2</v>
      </c>
      <c r="F3" s="16">
        <f>D3</f>
        <v>12.2</v>
      </c>
      <c r="G3" s="64"/>
      <c r="H3" s="16">
        <v>12.2</v>
      </c>
      <c r="J3" s="16">
        <f>H3</f>
        <v>12.2</v>
      </c>
      <c r="K3" s="64"/>
      <c r="L3" s="16">
        <v>12.2</v>
      </c>
      <c r="N3" s="16">
        <f>L3</f>
        <v>12.2</v>
      </c>
      <c r="O3" s="64"/>
      <c r="P3" s="16">
        <v>12.2</v>
      </c>
      <c r="R3" s="16">
        <f>P3</f>
        <v>12.2</v>
      </c>
      <c r="S3" s="64"/>
      <c r="T3" s="59" t="s">
        <v>127</v>
      </c>
      <c r="U3" s="57">
        <v>0.65</v>
      </c>
      <c r="V3" s="57">
        <v>0.65</v>
      </c>
      <c r="W3" s="60" t="s">
        <v>128</v>
      </c>
      <c r="X3" s="1" t="s">
        <v>54</v>
      </c>
      <c r="Y3" s="3">
        <v>0</v>
      </c>
      <c r="Z3" s="33">
        <v>1</v>
      </c>
      <c r="AA3" s="19">
        <v>2</v>
      </c>
      <c r="AB3" s="4">
        <f>10*LOG10(AA3*1000)</f>
        <v>33.010299956639813</v>
      </c>
      <c r="AC3" s="4"/>
      <c r="AD3" s="4"/>
      <c r="AE3" s="51" t="s">
        <v>91</v>
      </c>
      <c r="AF3" s="52">
        <v>1.7</v>
      </c>
      <c r="AG3" s="52">
        <v>24</v>
      </c>
      <c r="AH3" s="52">
        <v>12</v>
      </c>
      <c r="AI3" s="52">
        <v>20</v>
      </c>
      <c r="AJ3" s="52">
        <v>-9</v>
      </c>
      <c r="AK3" s="52">
        <v>40</v>
      </c>
      <c r="AS3" s="54" t="s">
        <v>91</v>
      </c>
    </row>
    <row r="4" spans="2:45" x14ac:dyDescent="0.25">
      <c r="B4" s="2" t="s">
        <v>78</v>
      </c>
      <c r="C4" s="64"/>
      <c r="D4" s="16">
        <v>0.5</v>
      </c>
      <c r="F4" s="16">
        <v>0.3</v>
      </c>
      <c r="G4" s="64"/>
      <c r="H4" s="16">
        <v>0.5</v>
      </c>
      <c r="J4" s="16">
        <v>0.3</v>
      </c>
      <c r="K4" s="64"/>
      <c r="L4" s="16">
        <v>0.5</v>
      </c>
      <c r="N4" s="16">
        <v>0.3</v>
      </c>
      <c r="O4" s="64"/>
      <c r="P4" s="16">
        <v>0.5</v>
      </c>
      <c r="R4" s="16">
        <v>0.3</v>
      </c>
      <c r="S4" s="64"/>
      <c r="T4" s="59" t="s">
        <v>129</v>
      </c>
      <c r="U4" s="57">
        <v>0.6</v>
      </c>
      <c r="V4" s="57">
        <v>0</v>
      </c>
      <c r="W4" s="60" t="s">
        <v>131</v>
      </c>
      <c r="Z4" s="33"/>
      <c r="AA4" s="19"/>
      <c r="AB4" s="4"/>
      <c r="AC4" s="4"/>
      <c r="AD4" s="4"/>
      <c r="AE4" s="51" t="s">
        <v>116</v>
      </c>
      <c r="AF4" s="52">
        <v>1.8</v>
      </c>
      <c r="AG4" s="52">
        <v>20</v>
      </c>
      <c r="AH4" s="52">
        <v>10</v>
      </c>
      <c r="AI4" s="52">
        <v>22</v>
      </c>
      <c r="AJ4" s="52">
        <v>-12</v>
      </c>
      <c r="AK4" s="52">
        <v>40</v>
      </c>
      <c r="AS4" s="54" t="s">
        <v>116</v>
      </c>
    </row>
    <row r="5" spans="2:45" x14ac:dyDescent="0.25">
      <c r="B5" s="2" t="s">
        <v>95</v>
      </c>
      <c r="C5" s="66"/>
      <c r="D5" s="58">
        <f>D4*(1/$U$2)*(1/((1-$U$4)+$U$3))*(3840/D3)*(1/(10^(D25/10)))</f>
        <v>99.026652628773164</v>
      </c>
      <c r="F5" s="58">
        <f>F4*(1/$V$2)*(1/((1-$V$4)+$V$3))*10^((10*LOG10(3840/F3)-F25)/10)</f>
        <v>34.483290767891731</v>
      </c>
      <c r="G5" s="66"/>
      <c r="H5" s="58">
        <f>H4*(1/$U$2)*(1/((1-$U$4)+$U$3))*10^((10*LOG10(3840/H3)-H25)/10)</f>
        <v>99.026652628773192</v>
      </c>
      <c r="J5" s="58">
        <f>J4*(1/$V$2)*(1/((1-$V$4)+$V$3))*10^((10*LOG10(3840/J3)-J25)/10)</f>
        <v>34.483290767891731</v>
      </c>
      <c r="K5" s="66"/>
      <c r="L5" s="58">
        <f>L4*(1/$U$2)*(1/((1-$U$4)+$U$3))*10^((10*LOG10(3840/L3)-L25)/10)</f>
        <v>99.026652628773192</v>
      </c>
      <c r="N5" s="58">
        <f>N4*(1/$V$2)*(1/((1-$V$4)+$V$3))*10^((10*LOG10(3840/N3)-N25)/10)</f>
        <v>34.483290767891731</v>
      </c>
      <c r="O5" s="66"/>
      <c r="P5" s="58">
        <f>P4*(1/$U$2)*(1/((1-$U$4)+$U$3))*10^((10*LOG10(3840/P3)-P25)/10)</f>
        <v>99.026652628773192</v>
      </c>
      <c r="R5" s="58">
        <f>R4*(1/$V$2)*(1/((1-$V$4)+$V$3))*10^((10*LOG10(3840/R3)-R25)/10)</f>
        <v>34.483290767891731</v>
      </c>
      <c r="S5" s="66"/>
      <c r="T5" s="37" t="s">
        <v>130</v>
      </c>
      <c r="X5" s="1" t="s">
        <v>55</v>
      </c>
      <c r="Y5" s="3">
        <v>-3</v>
      </c>
      <c r="Z5" s="33">
        <v>0.1</v>
      </c>
      <c r="AA5" s="19">
        <v>0.1</v>
      </c>
      <c r="AB5" s="4">
        <f t="shared" ref="AB5:AB10" si="0">10*LOG10(AA5*1000)</f>
        <v>20</v>
      </c>
      <c r="AC5" s="4"/>
      <c r="AD5" s="4"/>
      <c r="AE5" s="51" t="s">
        <v>117</v>
      </c>
      <c r="AF5" s="52">
        <v>1.9</v>
      </c>
      <c r="AG5" s="52">
        <v>14</v>
      </c>
      <c r="AH5" s="52">
        <v>7</v>
      </c>
      <c r="AI5" s="52">
        <v>25</v>
      </c>
      <c r="AJ5" s="52">
        <v>-12</v>
      </c>
      <c r="AK5" s="52">
        <v>60</v>
      </c>
      <c r="AS5" s="54" t="s">
        <v>117</v>
      </c>
    </row>
    <row r="6" spans="2:45" x14ac:dyDescent="0.25">
      <c r="C6" s="67"/>
      <c r="D6" s="1"/>
      <c r="E6" s="1"/>
      <c r="F6" s="1"/>
      <c r="G6" s="67"/>
      <c r="H6" s="1"/>
      <c r="I6" s="1"/>
      <c r="J6" s="1"/>
      <c r="K6" s="67"/>
      <c r="L6" s="1"/>
      <c r="M6" s="1"/>
      <c r="N6" s="1"/>
      <c r="O6" s="67"/>
      <c r="P6" s="1"/>
      <c r="Q6" s="1"/>
      <c r="R6" s="1"/>
      <c r="S6" s="67"/>
      <c r="X6" s="1" t="s">
        <v>56</v>
      </c>
      <c r="Y6" s="3">
        <v>-3</v>
      </c>
      <c r="Z6" s="33">
        <v>0.1</v>
      </c>
      <c r="AA6" s="19">
        <v>0.1</v>
      </c>
      <c r="AB6" s="4">
        <f t="shared" si="0"/>
        <v>20</v>
      </c>
      <c r="AC6" s="4"/>
      <c r="AD6" s="4"/>
      <c r="AE6" s="51" t="s">
        <v>118</v>
      </c>
      <c r="AF6" s="52">
        <v>2.4</v>
      </c>
      <c r="AG6" s="52">
        <v>9</v>
      </c>
      <c r="AH6" s="52">
        <v>6</v>
      </c>
      <c r="AI6" s="52">
        <v>30</v>
      </c>
      <c r="AJ6" s="52">
        <v>-15</v>
      </c>
      <c r="AK6" s="52">
        <v>65</v>
      </c>
      <c r="AS6" s="54" t="s">
        <v>118</v>
      </c>
    </row>
    <row r="7" spans="2:45" x14ac:dyDescent="0.25">
      <c r="B7" s="6" t="s">
        <v>68</v>
      </c>
      <c r="C7" s="64"/>
      <c r="D7" s="30" t="s">
        <v>71</v>
      </c>
      <c r="E7" s="27"/>
      <c r="F7" s="30" t="s">
        <v>70</v>
      </c>
      <c r="G7" s="64"/>
      <c r="H7" s="30" t="s">
        <v>71</v>
      </c>
      <c r="I7" s="27"/>
      <c r="J7" s="30" t="s">
        <v>70</v>
      </c>
      <c r="K7" s="64"/>
      <c r="L7" s="30" t="s">
        <v>71</v>
      </c>
      <c r="M7" s="27"/>
      <c r="N7" s="30" t="s">
        <v>70</v>
      </c>
      <c r="O7" s="64"/>
      <c r="P7" s="30" t="s">
        <v>71</v>
      </c>
      <c r="Q7" s="27"/>
      <c r="R7" s="30" t="s">
        <v>70</v>
      </c>
      <c r="S7" s="64"/>
      <c r="U7" s="38" t="s">
        <v>48</v>
      </c>
      <c r="X7" s="1" t="s">
        <v>60</v>
      </c>
      <c r="Y7" s="3">
        <v>-5</v>
      </c>
      <c r="Z7" s="33">
        <v>0.9</v>
      </c>
      <c r="AA7" s="19">
        <v>0.6</v>
      </c>
      <c r="AB7" s="4">
        <f>10*LOG10(AA7*1000)</f>
        <v>27.781512503836435</v>
      </c>
      <c r="AC7" s="4"/>
      <c r="AD7" s="4"/>
    </row>
    <row r="8" spans="2:45" x14ac:dyDescent="0.25">
      <c r="C8" s="67"/>
      <c r="D8" s="1"/>
      <c r="E8" s="1"/>
      <c r="F8" s="1"/>
      <c r="G8" s="67"/>
      <c r="H8" s="1"/>
      <c r="I8" s="1"/>
      <c r="J8" s="1"/>
      <c r="K8" s="67"/>
      <c r="L8" s="1"/>
      <c r="M8" s="1"/>
      <c r="N8" s="1"/>
      <c r="O8" s="67"/>
      <c r="P8" s="1"/>
      <c r="Q8" s="1"/>
      <c r="R8" s="1"/>
      <c r="S8" s="67"/>
      <c r="U8" s="39" t="s">
        <v>49</v>
      </c>
      <c r="X8" s="1" t="s">
        <v>57</v>
      </c>
      <c r="Y8" s="3">
        <v>-8</v>
      </c>
      <c r="Z8" s="33" t="s">
        <v>66</v>
      </c>
      <c r="AA8" s="19">
        <v>0.3</v>
      </c>
      <c r="AB8" s="4">
        <f t="shared" si="0"/>
        <v>24.771212547196626</v>
      </c>
      <c r="AC8" s="4"/>
      <c r="AD8" s="4"/>
    </row>
    <row r="9" spans="2:45" x14ac:dyDescent="0.25">
      <c r="B9" s="1" t="s">
        <v>79</v>
      </c>
      <c r="C9" s="68"/>
      <c r="D9" s="28">
        <v>20</v>
      </c>
      <c r="F9" s="62">
        <f>10^((F10-30)/10)</f>
        <v>0.25118864315095801</v>
      </c>
      <c r="G9" s="68"/>
      <c r="H9" s="28">
        <f>D9</f>
        <v>20</v>
      </c>
      <c r="J9" s="62">
        <f>10^((J10-30)/10)</f>
        <v>0.25118864315095801</v>
      </c>
      <c r="K9" s="68"/>
      <c r="L9" s="28">
        <f>D9</f>
        <v>20</v>
      </c>
      <c r="N9" s="62">
        <f>10^((N10-30)/10)</f>
        <v>0.25118864315095801</v>
      </c>
      <c r="O9" s="68"/>
      <c r="P9" s="28">
        <f>D9</f>
        <v>20</v>
      </c>
      <c r="R9" s="62">
        <f>10^((R10-30)/10)</f>
        <v>0.25118864315095801</v>
      </c>
      <c r="S9" s="68"/>
      <c r="U9" s="39"/>
      <c r="X9" s="1" t="s">
        <v>58</v>
      </c>
      <c r="Y9" s="3">
        <v>-8</v>
      </c>
      <c r="Z9" s="33" t="s">
        <v>66</v>
      </c>
      <c r="AA9" s="19">
        <v>0.3</v>
      </c>
      <c r="AB9" s="4">
        <f t="shared" si="0"/>
        <v>24.771212547196626</v>
      </c>
      <c r="AC9" s="4"/>
      <c r="AD9" s="4"/>
    </row>
    <row r="10" spans="2:45" x14ac:dyDescent="0.25">
      <c r="B10" s="1" t="s">
        <v>126</v>
      </c>
      <c r="C10" s="69"/>
      <c r="D10" s="43">
        <f>30+10*LOG10(((1-$Z$12)*D9)/(D4*D5))</f>
        <v>25.201217447528158</v>
      </c>
      <c r="F10" s="43">
        <v>24</v>
      </c>
      <c r="G10" s="69"/>
      <c r="H10" s="43">
        <f>30+10*LOG10(((1-$Z$12)*H9)/(H4*H5))</f>
        <v>25.201217447528158</v>
      </c>
      <c r="J10" s="43">
        <v>24</v>
      </c>
      <c r="K10" s="69"/>
      <c r="L10" s="43">
        <f>30+10*LOG10(((1-$Z$12)*L9)/(L4*L5))</f>
        <v>25.201217447528158</v>
      </c>
      <c r="N10" s="43">
        <v>24</v>
      </c>
      <c r="O10" s="69"/>
      <c r="P10" s="43">
        <f>30+10*LOG10(((1-$Z$12)*P9)/(P4*P5))</f>
        <v>25.201217447528158</v>
      </c>
      <c r="R10" s="43">
        <v>24</v>
      </c>
      <c r="S10" s="69"/>
      <c r="T10" s="3" t="s">
        <v>0</v>
      </c>
      <c r="U10" s="37" t="s">
        <v>36</v>
      </c>
      <c r="X10" s="1" t="s">
        <v>53</v>
      </c>
      <c r="Y10" s="3" t="s">
        <v>65</v>
      </c>
      <c r="Z10" s="33" t="s">
        <v>67</v>
      </c>
      <c r="AA10" s="3">
        <v>0.2</v>
      </c>
      <c r="AB10" s="4">
        <f t="shared" si="0"/>
        <v>23.010299956639813</v>
      </c>
      <c r="AC10" s="4"/>
      <c r="AD10" s="4"/>
      <c r="AS10" s="35">
        <f>AS11/2</f>
        <v>6.1</v>
      </c>
    </row>
    <row r="11" spans="2:45" x14ac:dyDescent="0.25">
      <c r="B11" s="1" t="s">
        <v>74</v>
      </c>
      <c r="C11" s="69"/>
      <c r="D11" s="17">
        <f>F27</f>
        <v>18</v>
      </c>
      <c r="F11" s="17">
        <v>0</v>
      </c>
      <c r="G11" s="69"/>
      <c r="H11" s="17">
        <f>J27</f>
        <v>18</v>
      </c>
      <c r="J11" s="17">
        <v>0</v>
      </c>
      <c r="K11" s="69"/>
      <c r="L11" s="17">
        <f>N27</f>
        <v>18</v>
      </c>
      <c r="N11" s="17">
        <v>0</v>
      </c>
      <c r="O11" s="69"/>
      <c r="P11" s="17">
        <f>R27</f>
        <v>18</v>
      </c>
      <c r="R11" s="17">
        <v>0</v>
      </c>
      <c r="S11" s="69"/>
      <c r="T11" s="3" t="s">
        <v>1</v>
      </c>
      <c r="U11" s="37" t="s">
        <v>38</v>
      </c>
      <c r="Z11" s="33"/>
      <c r="AS11" s="35">
        <v>12.2</v>
      </c>
    </row>
    <row r="12" spans="2:45" x14ac:dyDescent="0.25">
      <c r="B12" s="1" t="s">
        <v>3</v>
      </c>
      <c r="C12" s="69"/>
      <c r="D12" s="17">
        <v>0</v>
      </c>
      <c r="F12" s="17">
        <v>0</v>
      </c>
      <c r="G12" s="69"/>
      <c r="H12" s="17">
        <v>0</v>
      </c>
      <c r="J12" s="17">
        <v>0</v>
      </c>
      <c r="K12" s="69"/>
      <c r="L12" s="17">
        <v>0</v>
      </c>
      <c r="N12" s="17">
        <v>0</v>
      </c>
      <c r="O12" s="69"/>
      <c r="P12" s="17">
        <v>0</v>
      </c>
      <c r="R12" s="17">
        <v>0</v>
      </c>
      <c r="S12" s="69"/>
      <c r="T12" s="3" t="s">
        <v>4</v>
      </c>
      <c r="U12" s="37" t="s">
        <v>37</v>
      </c>
      <c r="X12" s="6" t="s">
        <v>59</v>
      </c>
      <c r="Y12" s="30" t="s">
        <v>85</v>
      </c>
      <c r="Z12" s="34">
        <f>AA12/D9</f>
        <v>0.18</v>
      </c>
      <c r="AA12" s="32">
        <f>SUM(AA3:AA10)</f>
        <v>3.6</v>
      </c>
      <c r="AS12" s="35">
        <v>64</v>
      </c>
    </row>
    <row r="13" spans="2:45" x14ac:dyDescent="0.25">
      <c r="B13" s="1" t="s">
        <v>86</v>
      </c>
      <c r="C13" s="69"/>
      <c r="D13" s="17">
        <v>0.5</v>
      </c>
      <c r="F13" s="17">
        <v>0</v>
      </c>
      <c r="G13" s="69"/>
      <c r="H13" s="17">
        <v>0.5</v>
      </c>
      <c r="J13" s="17">
        <v>0</v>
      </c>
      <c r="K13" s="69"/>
      <c r="L13" s="17">
        <v>0.5</v>
      </c>
      <c r="N13" s="17">
        <v>0</v>
      </c>
      <c r="O13" s="69"/>
      <c r="P13" s="17">
        <v>0.5</v>
      </c>
      <c r="R13" s="17">
        <v>0</v>
      </c>
      <c r="S13" s="69"/>
      <c r="T13" s="3" t="s">
        <v>87</v>
      </c>
      <c r="X13" s="1" t="s">
        <v>62</v>
      </c>
      <c r="AS13" s="35">
        <v>144</v>
      </c>
    </row>
    <row r="14" spans="2:45" x14ac:dyDescent="0.25">
      <c r="B14" s="2" t="s">
        <v>2</v>
      </c>
      <c r="C14" s="70"/>
      <c r="D14" s="18">
        <f>D10+D11-D12-D13</f>
        <v>42.701217447528158</v>
      </c>
      <c r="E14" s="18"/>
      <c r="F14" s="18">
        <f>F10+F11-F12-F13</f>
        <v>24</v>
      </c>
      <c r="G14" s="70"/>
      <c r="H14" s="18">
        <f>H10+H11-H12-H13</f>
        <v>42.701217447528158</v>
      </c>
      <c r="I14" s="18"/>
      <c r="J14" s="18">
        <f>J10+J11-J12-J13</f>
        <v>24</v>
      </c>
      <c r="K14" s="70"/>
      <c r="L14" s="18">
        <f>L10+L11-L12-L13</f>
        <v>42.701217447528158</v>
      </c>
      <c r="M14" s="18"/>
      <c r="N14" s="18">
        <f>N10+N11-N12-N13</f>
        <v>24</v>
      </c>
      <c r="O14" s="70"/>
      <c r="P14" s="18">
        <f>P10+P11-P12-P13</f>
        <v>42.701217447528158</v>
      </c>
      <c r="Q14" s="18"/>
      <c r="R14" s="18">
        <f>R10+R11-R12-R13</f>
        <v>24</v>
      </c>
      <c r="S14" s="70"/>
      <c r="T14" s="3" t="s">
        <v>88</v>
      </c>
      <c r="X14" s="1" t="s">
        <v>63</v>
      </c>
      <c r="AS14" s="35">
        <v>384</v>
      </c>
    </row>
    <row r="15" spans="2:45" x14ac:dyDescent="0.25">
      <c r="C15" s="69"/>
      <c r="D15" s="19"/>
      <c r="F15" s="19"/>
      <c r="G15" s="69"/>
      <c r="H15" s="19"/>
      <c r="J15" s="19"/>
      <c r="K15" s="69"/>
      <c r="L15" s="19"/>
      <c r="N15" s="19"/>
      <c r="O15" s="69"/>
      <c r="P15" s="19"/>
      <c r="R15" s="19"/>
      <c r="S15" s="69"/>
      <c r="X15" s="1" t="s">
        <v>64</v>
      </c>
      <c r="AB15" s="1">
        <f>AA3*0.9</f>
        <v>1.8</v>
      </c>
    </row>
    <row r="16" spans="2:45" x14ac:dyDescent="0.25">
      <c r="B16" s="6" t="s">
        <v>69</v>
      </c>
      <c r="C16" s="64"/>
      <c r="D16" s="30" t="s">
        <v>70</v>
      </c>
      <c r="E16" s="27"/>
      <c r="F16" s="30" t="s">
        <v>71</v>
      </c>
      <c r="G16" s="64"/>
      <c r="H16" s="30" t="s">
        <v>70</v>
      </c>
      <c r="I16" s="27"/>
      <c r="J16" s="30" t="s">
        <v>71</v>
      </c>
      <c r="K16" s="64"/>
      <c r="L16" s="30" t="s">
        <v>70</v>
      </c>
      <c r="M16" s="27"/>
      <c r="N16" s="30" t="s">
        <v>71</v>
      </c>
      <c r="O16" s="64"/>
      <c r="P16" s="30" t="s">
        <v>70</v>
      </c>
      <c r="Q16" s="27"/>
      <c r="R16" s="30" t="s">
        <v>71</v>
      </c>
      <c r="S16" s="64"/>
      <c r="AB16" s="1">
        <f>10*LOG(AB15*1000)</f>
        <v>32.552725051033057</v>
      </c>
    </row>
    <row r="17" spans="2:45" x14ac:dyDescent="0.25">
      <c r="C17" s="69"/>
      <c r="D17" s="19"/>
      <c r="F17" s="19"/>
      <c r="G17" s="69"/>
      <c r="H17" s="19"/>
      <c r="J17" s="19"/>
      <c r="K17" s="69"/>
      <c r="L17" s="19"/>
      <c r="N17" s="19"/>
      <c r="O17" s="69"/>
      <c r="P17" s="19"/>
      <c r="R17" s="19"/>
      <c r="S17" s="69"/>
      <c r="X17" s="6" t="s">
        <v>80</v>
      </c>
      <c r="AB17" s="1">
        <f>AB16-5</f>
        <v>27.552725051033057</v>
      </c>
      <c r="AS17" s="54">
        <v>21</v>
      </c>
    </row>
    <row r="18" spans="2:45" x14ac:dyDescent="0.25">
      <c r="B18" s="1" t="s">
        <v>5</v>
      </c>
      <c r="C18" s="71"/>
      <c r="D18" s="20">
        <f>10*(LOG10((1.38*10^-23)*300*(1/10^-3)))</f>
        <v>-173.829996588791</v>
      </c>
      <c r="F18" s="20">
        <f>10*(LOG10((1.38*10^-23)*300*(1/10^-3)))</f>
        <v>-173.829996588791</v>
      </c>
      <c r="G18" s="71"/>
      <c r="H18" s="20">
        <f>10*(LOG10((1.38*10^-23)*300*(1/10^-3)))</f>
        <v>-173.829996588791</v>
      </c>
      <c r="J18" s="20">
        <f>10*(LOG10((1.38*10^-23)*300*(1/10^-3)))</f>
        <v>-173.829996588791</v>
      </c>
      <c r="K18" s="71"/>
      <c r="L18" s="20">
        <f>10*(LOG10((1.38*10^-23)*300*(1/10^-3)))</f>
        <v>-173.829996588791</v>
      </c>
      <c r="N18" s="20">
        <f>10*(LOG10((1.38*10^-23)*300*(1/10^-3)))</f>
        <v>-173.829996588791</v>
      </c>
      <c r="O18" s="71"/>
      <c r="P18" s="20">
        <f>10*(LOG10((1.38*10^-23)*300*(1/10^-3)))</f>
        <v>-173.829996588791</v>
      </c>
      <c r="R18" s="20">
        <f>10*(LOG10((1.38*10^-23)*300*(1/10^-3)))</f>
        <v>-173.829996588791</v>
      </c>
      <c r="S18" s="71"/>
      <c r="T18" s="3" t="s">
        <v>6</v>
      </c>
      <c r="U18" s="40" t="s">
        <v>7</v>
      </c>
      <c r="X18" s="1" t="s">
        <v>84</v>
      </c>
      <c r="AS18" s="54">
        <v>24</v>
      </c>
    </row>
    <row r="19" spans="2:45" x14ac:dyDescent="0.25">
      <c r="B19" s="1" t="s">
        <v>75</v>
      </c>
      <c r="C19" s="69"/>
      <c r="D19" s="17">
        <v>7</v>
      </c>
      <c r="F19" s="17">
        <v>2</v>
      </c>
      <c r="G19" s="69"/>
      <c r="H19" s="17">
        <v>7</v>
      </c>
      <c r="J19" s="17">
        <v>2</v>
      </c>
      <c r="K19" s="69"/>
      <c r="L19" s="17">
        <v>7</v>
      </c>
      <c r="N19" s="17">
        <v>2</v>
      </c>
      <c r="O19" s="69"/>
      <c r="P19" s="17">
        <v>7</v>
      </c>
      <c r="R19" s="17">
        <v>2</v>
      </c>
      <c r="S19" s="69"/>
      <c r="T19" s="3" t="s">
        <v>8</v>
      </c>
      <c r="X19" s="1" t="s">
        <v>81</v>
      </c>
    </row>
    <row r="20" spans="2:45" x14ac:dyDescent="0.25">
      <c r="B20" s="1" t="s">
        <v>76</v>
      </c>
      <c r="C20" s="69"/>
      <c r="D20" s="19">
        <f>D19+D18</f>
        <v>-166.829996588791</v>
      </c>
      <c r="F20" s="19">
        <f>F19+F18</f>
        <v>-171.829996588791</v>
      </c>
      <c r="G20" s="69"/>
      <c r="H20" s="19">
        <f>H19+H18</f>
        <v>-166.829996588791</v>
      </c>
      <c r="J20" s="19">
        <f>J19+J18</f>
        <v>-171.829996588791</v>
      </c>
      <c r="K20" s="69"/>
      <c r="L20" s="19">
        <f>L19+L18</f>
        <v>-166.829996588791</v>
      </c>
      <c r="N20" s="19">
        <f>N19+N18</f>
        <v>-171.829996588791</v>
      </c>
      <c r="O20" s="69"/>
      <c r="P20" s="19">
        <f>P19+P18</f>
        <v>-166.829996588791</v>
      </c>
      <c r="R20" s="19">
        <f>R19+R18</f>
        <v>-171.829996588791</v>
      </c>
      <c r="S20" s="69"/>
      <c r="T20" s="3" t="s">
        <v>9</v>
      </c>
      <c r="U20" s="40"/>
      <c r="X20" s="1" t="s">
        <v>83</v>
      </c>
    </row>
    <row r="21" spans="2:45" x14ac:dyDescent="0.25">
      <c r="B21" s="2" t="s">
        <v>10</v>
      </c>
      <c r="C21" s="70"/>
      <c r="D21" s="18">
        <f>D20+10*LOG10(3840000)</f>
        <v>-100.98668434511571</v>
      </c>
      <c r="F21" s="18">
        <f>F20+10*LOG10(3840000)</f>
        <v>-105.98668434511571</v>
      </c>
      <c r="G21" s="70"/>
      <c r="H21" s="18">
        <f>H20+10*LOG10(3840000)</f>
        <v>-100.98668434511571</v>
      </c>
      <c r="J21" s="18">
        <f>J20+10*LOG10(3840000)</f>
        <v>-105.98668434511571</v>
      </c>
      <c r="K21" s="70"/>
      <c r="L21" s="18">
        <f>L20+10*LOG10(3840000)</f>
        <v>-100.98668434511571</v>
      </c>
      <c r="N21" s="18">
        <f>N20+10*LOG10(3840000)</f>
        <v>-105.98668434511571</v>
      </c>
      <c r="O21" s="70"/>
      <c r="P21" s="18">
        <f>P20+10*LOG10(3840000)</f>
        <v>-100.98668434511571</v>
      </c>
      <c r="R21" s="18">
        <f>R20+10*LOG10(3840000)</f>
        <v>-105.98668434511571</v>
      </c>
      <c r="S21" s="70"/>
      <c r="T21" s="3" t="s">
        <v>14</v>
      </c>
      <c r="U21" s="37" t="s">
        <v>11</v>
      </c>
      <c r="X21" s="1" t="s">
        <v>82</v>
      </c>
    </row>
    <row r="22" spans="2:45" x14ac:dyDescent="0.25">
      <c r="B22" s="1" t="s">
        <v>12</v>
      </c>
      <c r="C22" s="69"/>
      <c r="D22" s="17">
        <v>2.6</v>
      </c>
      <c r="F22" s="17">
        <v>3.01</v>
      </c>
      <c r="G22" s="69"/>
      <c r="H22" s="17">
        <f>D22</f>
        <v>2.6</v>
      </c>
      <c r="J22" s="17">
        <v>3.01</v>
      </c>
      <c r="K22" s="69"/>
      <c r="L22" s="17">
        <f>D22</f>
        <v>2.6</v>
      </c>
      <c r="N22" s="17">
        <v>3.01</v>
      </c>
      <c r="O22" s="69"/>
      <c r="P22" s="17">
        <f>D22</f>
        <v>2.6</v>
      </c>
      <c r="R22" s="17">
        <v>3.01</v>
      </c>
      <c r="S22" s="69"/>
      <c r="T22" s="3" t="s">
        <v>13</v>
      </c>
      <c r="AE22" s="5"/>
    </row>
    <row r="23" spans="2:45" x14ac:dyDescent="0.25">
      <c r="B23" s="1" t="s">
        <v>94</v>
      </c>
      <c r="C23" s="69"/>
      <c r="D23" s="19">
        <f>D21+D22</f>
        <v>-98.386684345115711</v>
      </c>
      <c r="F23" s="19">
        <f>F21+F22</f>
        <v>-102.9766843451157</v>
      </c>
      <c r="G23" s="69"/>
      <c r="H23" s="19">
        <f>H21+H22</f>
        <v>-98.386684345115711</v>
      </c>
      <c r="J23" s="19">
        <f>J21+J22</f>
        <v>-102.9766843451157</v>
      </c>
      <c r="K23" s="69"/>
      <c r="L23" s="19">
        <f>L21+L22</f>
        <v>-98.386684345115711</v>
      </c>
      <c r="N23" s="19">
        <f>N21+N22</f>
        <v>-102.9766843451157</v>
      </c>
      <c r="O23" s="69"/>
      <c r="P23" s="19">
        <f>P21+P22</f>
        <v>-98.386684345115711</v>
      </c>
      <c r="R23" s="19">
        <f>R21+R22</f>
        <v>-102.9766843451157</v>
      </c>
      <c r="S23" s="69"/>
      <c r="T23" s="3" t="s">
        <v>15</v>
      </c>
    </row>
    <row r="24" spans="2:45" x14ac:dyDescent="0.25">
      <c r="B24" s="2" t="s">
        <v>16</v>
      </c>
      <c r="C24" s="70"/>
      <c r="D24" s="18">
        <f>10*LOG(3840/D3)</f>
        <v>24.979713936927826</v>
      </c>
      <c r="F24" s="18">
        <f>10*LOG(3840/F3)</f>
        <v>24.979713936927826</v>
      </c>
      <c r="G24" s="70"/>
      <c r="H24" s="18">
        <f>10*LOG(3840/H3)</f>
        <v>24.979713936927826</v>
      </c>
      <c r="J24" s="18">
        <f>10*LOG(3840/J3)</f>
        <v>24.979713936927826</v>
      </c>
      <c r="K24" s="70"/>
      <c r="L24" s="18">
        <f>10*LOG(3840/L3)</f>
        <v>24.979713936927826</v>
      </c>
      <c r="N24" s="18">
        <f>10*LOG(3840/N3)</f>
        <v>24.979713936927826</v>
      </c>
      <c r="O24" s="70"/>
      <c r="P24" s="18">
        <f>10*LOG(3840/P3)</f>
        <v>24.979713936927826</v>
      </c>
      <c r="R24" s="18">
        <f>10*LOG(3840/R3)</f>
        <v>24.979713936927826</v>
      </c>
      <c r="S24" s="70"/>
      <c r="T24" s="3" t="s">
        <v>18</v>
      </c>
      <c r="Y24" s="1"/>
      <c r="Z24" s="1"/>
      <c r="AA24" s="1"/>
    </row>
    <row r="25" spans="2:45" x14ac:dyDescent="0.25">
      <c r="B25" s="25" t="s">
        <v>22</v>
      </c>
      <c r="C25" s="72"/>
      <c r="D25" s="21">
        <v>1.8</v>
      </c>
      <c r="F25" s="21">
        <v>2.2000000000000002</v>
      </c>
      <c r="G25" s="72"/>
      <c r="H25" s="21">
        <v>1.8</v>
      </c>
      <c r="J25" s="21">
        <v>2.2000000000000002</v>
      </c>
      <c r="K25" s="72"/>
      <c r="L25" s="21">
        <v>1.8</v>
      </c>
      <c r="N25" s="21">
        <v>2.2000000000000002</v>
      </c>
      <c r="O25" s="72"/>
      <c r="P25" s="21">
        <v>1.8</v>
      </c>
      <c r="R25" s="21">
        <v>2.2000000000000002</v>
      </c>
      <c r="S25" s="72"/>
      <c r="T25" s="3" t="s">
        <v>19</v>
      </c>
      <c r="U25" s="61" t="s">
        <v>135</v>
      </c>
      <c r="Y25" s="1"/>
      <c r="Z25" s="1"/>
      <c r="AA25" s="1"/>
    </row>
    <row r="26" spans="2:45" x14ac:dyDescent="0.25">
      <c r="B26" s="2" t="s">
        <v>20</v>
      </c>
      <c r="C26" s="70"/>
      <c r="D26" s="18">
        <f>D25-D24+D23</f>
        <v>-121.56639828204354</v>
      </c>
      <c r="F26" s="18">
        <f>F25-F24+F23</f>
        <v>-125.75639828204353</v>
      </c>
      <c r="G26" s="70"/>
      <c r="H26" s="18">
        <f>H25-H24+H23</f>
        <v>-121.56639828204354</v>
      </c>
      <c r="J26" s="18">
        <f>J25-J24+J23</f>
        <v>-125.75639828204353</v>
      </c>
      <c r="K26" s="70"/>
      <c r="L26" s="18">
        <f>L25-L24+L23</f>
        <v>-121.56639828204354</v>
      </c>
      <c r="N26" s="18">
        <f>N25-N24+N23</f>
        <v>-125.75639828204353</v>
      </c>
      <c r="O26" s="70"/>
      <c r="P26" s="18">
        <f>P25-P24+P23</f>
        <v>-121.56639828204354</v>
      </c>
      <c r="R26" s="18">
        <f>R25-R24+R23</f>
        <v>-125.75639828204353</v>
      </c>
      <c r="S26" s="70"/>
      <c r="T26" s="3" t="s">
        <v>21</v>
      </c>
      <c r="U26" s="40" t="s">
        <v>138</v>
      </c>
    </row>
    <row r="27" spans="2:45" x14ac:dyDescent="0.25">
      <c r="B27" s="1" t="s">
        <v>77</v>
      </c>
      <c r="C27" s="69"/>
      <c r="D27" s="17">
        <f>F11</f>
        <v>0</v>
      </c>
      <c r="F27" s="17">
        <v>18</v>
      </c>
      <c r="G27" s="69"/>
      <c r="H27" s="17">
        <f>J11</f>
        <v>0</v>
      </c>
      <c r="J27" s="17">
        <f>F27</f>
        <v>18</v>
      </c>
      <c r="K27" s="69"/>
      <c r="L27" s="17">
        <f>N11</f>
        <v>0</v>
      </c>
      <c r="N27" s="17">
        <f>F27</f>
        <v>18</v>
      </c>
      <c r="O27" s="69"/>
      <c r="P27" s="17">
        <f>R11</f>
        <v>0</v>
      </c>
      <c r="R27" s="17">
        <f>F27</f>
        <v>18</v>
      </c>
      <c r="S27" s="69"/>
      <c r="T27" s="3" t="s">
        <v>23</v>
      </c>
      <c r="U27" s="63"/>
    </row>
    <row r="28" spans="2:45" x14ac:dyDescent="0.25">
      <c r="B28" s="7" t="s">
        <v>24</v>
      </c>
      <c r="C28" s="69"/>
      <c r="D28" s="17">
        <f>F13</f>
        <v>0</v>
      </c>
      <c r="F28" s="17">
        <f>D13</f>
        <v>0.5</v>
      </c>
      <c r="G28" s="69"/>
      <c r="H28" s="17">
        <f>J13</f>
        <v>0</v>
      </c>
      <c r="J28" s="17">
        <f>H13</f>
        <v>0.5</v>
      </c>
      <c r="K28" s="69"/>
      <c r="L28" s="17">
        <f>N13</f>
        <v>0</v>
      </c>
      <c r="N28" s="17">
        <f>L13</f>
        <v>0.5</v>
      </c>
      <c r="O28" s="69"/>
      <c r="P28" s="17">
        <f>R13</f>
        <v>0</v>
      </c>
      <c r="R28" s="17">
        <f>P13</f>
        <v>0.5</v>
      </c>
      <c r="S28" s="69"/>
      <c r="T28" s="3" t="s">
        <v>26</v>
      </c>
      <c r="V28" s="4"/>
    </row>
    <row r="29" spans="2:45" x14ac:dyDescent="0.25">
      <c r="B29" s="1" t="s">
        <v>25</v>
      </c>
      <c r="C29" s="69"/>
      <c r="D29" s="17">
        <v>1.8</v>
      </c>
      <c r="F29" s="17">
        <v>2</v>
      </c>
      <c r="G29" s="69"/>
      <c r="H29" s="17">
        <f>D29</f>
        <v>1.8</v>
      </c>
      <c r="J29" s="17">
        <v>2</v>
      </c>
      <c r="K29" s="69"/>
      <c r="L29" s="17">
        <f>D29</f>
        <v>1.8</v>
      </c>
      <c r="N29" s="17">
        <v>1</v>
      </c>
      <c r="O29" s="69"/>
      <c r="P29" s="17">
        <f>D29</f>
        <v>1.8</v>
      </c>
      <c r="R29" s="17">
        <v>1</v>
      </c>
      <c r="S29" s="69"/>
      <c r="T29" s="3" t="s">
        <v>27</v>
      </c>
    </row>
    <row r="30" spans="2:45" x14ac:dyDescent="0.25">
      <c r="B30" s="2" t="s">
        <v>28</v>
      </c>
      <c r="C30" s="70"/>
      <c r="D30" s="18">
        <f>D14-D26+D27-D28-D29</f>
        <v>162.46761572957169</v>
      </c>
      <c r="F30" s="18">
        <f>F14-F26+F27-F28-F29</f>
        <v>165.25639828204353</v>
      </c>
      <c r="G30" s="70"/>
      <c r="H30" s="18">
        <f>H14-H26+H27-H28-H29</f>
        <v>162.46761572957169</v>
      </c>
      <c r="J30" s="18">
        <f>J14-J26+J27-J28-J29</f>
        <v>165.25639828204353</v>
      </c>
      <c r="K30" s="70"/>
      <c r="L30" s="18">
        <f>L14-L26+L27-L28-L29</f>
        <v>162.46761572957169</v>
      </c>
      <c r="N30" s="18">
        <f>N14-N26+N27-N28-N29</f>
        <v>166.25639828204353</v>
      </c>
      <c r="O30" s="70"/>
      <c r="P30" s="18">
        <f>P14-P26+P27-P28-P29</f>
        <v>162.46761572957169</v>
      </c>
      <c r="R30" s="18">
        <f>R14-R26+R27-R28-R29</f>
        <v>166.25639828204353</v>
      </c>
      <c r="S30" s="70"/>
      <c r="T30" s="3" t="s">
        <v>29</v>
      </c>
      <c r="U30" s="40" t="s">
        <v>136</v>
      </c>
    </row>
    <row r="31" spans="2:45" x14ac:dyDescent="0.25">
      <c r="B31" s="29" t="s">
        <v>96</v>
      </c>
      <c r="C31" s="69"/>
      <c r="D31" s="17">
        <v>10.8</v>
      </c>
      <c r="F31" s="17">
        <f>D31</f>
        <v>10.8</v>
      </c>
      <c r="G31" s="69"/>
      <c r="H31" s="17">
        <f>D31</f>
        <v>10.8</v>
      </c>
      <c r="J31" s="17">
        <f>H31</f>
        <v>10.8</v>
      </c>
      <c r="K31" s="69"/>
      <c r="L31" s="17">
        <f>D31</f>
        <v>10.8</v>
      </c>
      <c r="N31" s="17">
        <f>L31</f>
        <v>10.8</v>
      </c>
      <c r="O31" s="69"/>
      <c r="P31" s="17">
        <f>D31</f>
        <v>10.8</v>
      </c>
      <c r="R31" s="17">
        <f>P31</f>
        <v>10.8</v>
      </c>
      <c r="S31" s="69"/>
      <c r="T31" s="3" t="s">
        <v>31</v>
      </c>
    </row>
    <row r="32" spans="2:45" x14ac:dyDescent="0.25">
      <c r="B32" s="29" t="s">
        <v>30</v>
      </c>
      <c r="C32" s="69"/>
      <c r="D32" s="17">
        <v>1.5</v>
      </c>
      <c r="F32" s="17">
        <f>D32</f>
        <v>1.5</v>
      </c>
      <c r="G32" s="69"/>
      <c r="H32" s="17">
        <f>D32</f>
        <v>1.5</v>
      </c>
      <c r="J32" s="17">
        <f>H32</f>
        <v>1.5</v>
      </c>
      <c r="K32" s="69"/>
      <c r="L32" s="17">
        <f>D32</f>
        <v>1.5</v>
      </c>
      <c r="N32" s="17">
        <v>1.5</v>
      </c>
      <c r="O32" s="69"/>
      <c r="P32" s="17">
        <v>3</v>
      </c>
      <c r="R32" s="17">
        <v>1.5</v>
      </c>
      <c r="S32" s="69"/>
      <c r="T32" s="3" t="s">
        <v>32</v>
      </c>
      <c r="V32" s="4"/>
    </row>
    <row r="33" spans="2:45" x14ac:dyDescent="0.25">
      <c r="B33" s="29" t="s">
        <v>89</v>
      </c>
      <c r="C33" s="69"/>
      <c r="D33" s="17">
        <v>25</v>
      </c>
      <c r="F33" s="17">
        <f>D33</f>
        <v>25</v>
      </c>
      <c r="G33" s="69"/>
      <c r="H33" s="17">
        <v>22</v>
      </c>
      <c r="J33" s="17">
        <f>H33</f>
        <v>22</v>
      </c>
      <c r="K33" s="69"/>
      <c r="L33" s="17">
        <v>18</v>
      </c>
      <c r="N33" s="17">
        <f>L33</f>
        <v>18</v>
      </c>
      <c r="O33" s="69"/>
      <c r="P33" s="17">
        <v>12</v>
      </c>
      <c r="R33" s="17">
        <f>P33</f>
        <v>12</v>
      </c>
      <c r="S33" s="69"/>
      <c r="T33" s="3" t="s">
        <v>33</v>
      </c>
    </row>
    <row r="34" spans="2:45" x14ac:dyDescent="0.25">
      <c r="B34" s="8" t="s">
        <v>34</v>
      </c>
      <c r="C34" s="70"/>
      <c r="D34" s="22">
        <f>D30-D31+D32-D33</f>
        <v>128.16761572957168</v>
      </c>
      <c r="F34" s="22">
        <f>F30-F31+F32-F33</f>
        <v>130.95639828204352</v>
      </c>
      <c r="G34" s="70"/>
      <c r="H34" s="22">
        <f>H30-H31+H32-H33</f>
        <v>131.16761572957168</v>
      </c>
      <c r="J34" s="22">
        <f>J30-J31+J32-J33</f>
        <v>133.95639828204352</v>
      </c>
      <c r="K34" s="70"/>
      <c r="L34" s="22">
        <f>L30-L31+L32-L33</f>
        <v>135.16761572957168</v>
      </c>
      <c r="N34" s="22">
        <f>N30-N31+N32-N33</f>
        <v>138.95639828204352</v>
      </c>
      <c r="O34" s="70"/>
      <c r="P34" s="22">
        <f>P30-P31+P32-P33</f>
        <v>142.66761572957168</v>
      </c>
      <c r="R34" s="22">
        <f>R30-R31+R32-R33</f>
        <v>144.95639828204352</v>
      </c>
      <c r="S34" s="70"/>
      <c r="T34" s="3" t="s">
        <v>35</v>
      </c>
      <c r="U34" s="40" t="s">
        <v>137</v>
      </c>
    </row>
    <row r="35" spans="2:45" x14ac:dyDescent="0.25">
      <c r="B35" s="8" t="s">
        <v>149</v>
      </c>
      <c r="C35" s="70"/>
      <c r="D35" s="22">
        <f>F26+D31+D29+D33+D22</f>
        <v>-85.556398282043546</v>
      </c>
      <c r="F35" s="22"/>
      <c r="G35" s="70"/>
      <c r="H35" s="22">
        <f>J26+H31+H29+H33+H22</f>
        <v>-88.556398282043546</v>
      </c>
      <c r="J35" s="22"/>
      <c r="K35" s="70"/>
      <c r="L35" s="22">
        <f>N26+L31+L29+L33+L22</f>
        <v>-92.556398282043546</v>
      </c>
      <c r="N35" s="22"/>
      <c r="O35" s="70"/>
      <c r="P35" s="22">
        <f>R26+P31+P29+P33+P22</f>
        <v>-98.556398282043546</v>
      </c>
      <c r="R35" s="22"/>
      <c r="S35" s="70"/>
      <c r="U35" s="40" t="s">
        <v>150</v>
      </c>
    </row>
    <row r="36" spans="2:45" x14ac:dyDescent="0.25">
      <c r="C36" s="69"/>
      <c r="D36" s="19"/>
      <c r="F36" s="19"/>
      <c r="G36" s="69"/>
      <c r="H36" s="19"/>
      <c r="J36" s="19"/>
      <c r="K36" s="69"/>
      <c r="L36" s="19"/>
      <c r="N36" s="19"/>
      <c r="O36" s="69"/>
      <c r="P36" s="19"/>
      <c r="R36" s="19"/>
      <c r="S36" s="69"/>
      <c r="U36" s="53" t="s">
        <v>123</v>
      </c>
      <c r="V36" s="53" t="s">
        <v>124</v>
      </c>
    </row>
    <row r="37" spans="2:45" x14ac:dyDescent="0.25">
      <c r="B37" s="6" t="s">
        <v>90</v>
      </c>
      <c r="C37" s="64"/>
      <c r="D37" s="19"/>
      <c r="F37" s="19"/>
      <c r="G37" s="64"/>
      <c r="H37" s="19"/>
      <c r="J37" s="19"/>
      <c r="K37" s="64"/>
      <c r="L37" s="19"/>
      <c r="N37" s="19"/>
      <c r="O37" s="64"/>
      <c r="P37" s="19"/>
      <c r="R37" s="19"/>
      <c r="S37" s="64"/>
      <c r="U37" s="52" t="s">
        <v>119</v>
      </c>
      <c r="V37" s="52">
        <v>67</v>
      </c>
    </row>
    <row r="38" spans="2:45" x14ac:dyDescent="0.25">
      <c r="B38" s="24" t="s">
        <v>43</v>
      </c>
      <c r="C38" s="65"/>
      <c r="G38" s="65"/>
      <c r="K38" s="65"/>
      <c r="O38" s="65"/>
      <c r="S38" s="65"/>
      <c r="U38" s="52" t="s">
        <v>120</v>
      </c>
      <c r="V38" s="52">
        <v>100</v>
      </c>
    </row>
    <row r="39" spans="2:45" x14ac:dyDescent="0.25">
      <c r="B39" s="1" t="s">
        <v>39</v>
      </c>
      <c r="C39" s="64"/>
      <c r="D39" s="16">
        <f>V56</f>
        <v>940.1</v>
      </c>
      <c r="F39" s="16">
        <f>V49</f>
        <v>895.1</v>
      </c>
      <c r="G39" s="64"/>
      <c r="H39" s="16">
        <f>D39</f>
        <v>940.1</v>
      </c>
      <c r="J39" s="16">
        <f>F39</f>
        <v>895.1</v>
      </c>
      <c r="K39" s="64"/>
      <c r="L39" s="16">
        <f>D39</f>
        <v>940.1</v>
      </c>
      <c r="N39" s="16">
        <f>F39</f>
        <v>895.1</v>
      </c>
      <c r="O39" s="64"/>
      <c r="P39" s="16">
        <f>D39</f>
        <v>940.1</v>
      </c>
      <c r="R39" s="16">
        <f>F39</f>
        <v>895.1</v>
      </c>
      <c r="S39" s="64"/>
      <c r="U39" s="52" t="s">
        <v>121</v>
      </c>
      <c r="V39" s="52">
        <v>60</v>
      </c>
    </row>
    <row r="40" spans="2:45" x14ac:dyDescent="0.25">
      <c r="B40" s="1" t="s">
        <v>40</v>
      </c>
      <c r="C40" s="65"/>
      <c r="D40" s="15">
        <v>20</v>
      </c>
      <c r="F40" s="15">
        <v>20</v>
      </c>
      <c r="G40" s="65"/>
      <c r="H40" s="15">
        <v>22</v>
      </c>
      <c r="J40" s="15">
        <v>22</v>
      </c>
      <c r="K40" s="65"/>
      <c r="L40" s="15">
        <v>25</v>
      </c>
      <c r="N40" s="15">
        <v>25</v>
      </c>
      <c r="O40" s="65"/>
      <c r="P40" s="15">
        <v>30</v>
      </c>
      <c r="R40" s="15">
        <v>30</v>
      </c>
      <c r="S40" s="65"/>
      <c r="U40" s="52" t="s">
        <v>122</v>
      </c>
      <c r="V40" s="52">
        <v>50</v>
      </c>
    </row>
    <row r="41" spans="2:45" x14ac:dyDescent="0.25">
      <c r="B41" s="1" t="s">
        <v>41</v>
      </c>
      <c r="C41" s="65"/>
      <c r="D41" s="15">
        <f>F41</f>
        <v>1.5</v>
      </c>
      <c r="F41" s="15">
        <v>1.5</v>
      </c>
      <c r="G41" s="65"/>
      <c r="H41" s="15">
        <f>J41</f>
        <v>1.5</v>
      </c>
      <c r="J41" s="15">
        <v>1.5</v>
      </c>
      <c r="K41" s="65"/>
      <c r="L41" s="15">
        <f>N41</f>
        <v>1.5</v>
      </c>
      <c r="N41" s="15">
        <v>1.5</v>
      </c>
      <c r="O41" s="65"/>
      <c r="P41" s="15">
        <f>R41</f>
        <v>1.5</v>
      </c>
      <c r="R41" s="15">
        <v>1.5</v>
      </c>
      <c r="S41" s="65"/>
    </row>
    <row r="42" spans="2:45" x14ac:dyDescent="0.25">
      <c r="C42" s="65"/>
      <c r="G42" s="65"/>
      <c r="K42" s="65"/>
      <c r="O42" s="65"/>
      <c r="S42" s="65"/>
    </row>
    <row r="43" spans="2:45" x14ac:dyDescent="0.25">
      <c r="B43" s="85" t="s">
        <v>93</v>
      </c>
      <c r="C43" s="65"/>
      <c r="G43" s="65"/>
      <c r="K43" s="65"/>
      <c r="O43" s="65"/>
      <c r="S43" s="65"/>
    </row>
    <row r="44" spans="2:45" x14ac:dyDescent="0.25">
      <c r="C44" s="65"/>
      <c r="G44" s="65"/>
      <c r="K44" s="65"/>
      <c r="O44" s="65"/>
      <c r="S44" s="65"/>
      <c r="U44" t="s">
        <v>265</v>
      </c>
      <c r="V44" t="s">
        <v>266</v>
      </c>
    </row>
    <row r="45" spans="2:45" x14ac:dyDescent="0.25">
      <c r="B45" s="1" t="s">
        <v>92</v>
      </c>
      <c r="C45" s="64"/>
      <c r="D45" s="16" t="s">
        <v>91</v>
      </c>
      <c r="F45" s="16" t="s">
        <v>91</v>
      </c>
      <c r="G45" s="64"/>
      <c r="H45" s="16" t="s">
        <v>116</v>
      </c>
      <c r="J45" s="16" t="s">
        <v>116</v>
      </c>
      <c r="K45" s="64"/>
      <c r="L45" s="16" t="s">
        <v>117</v>
      </c>
      <c r="N45" s="16" t="s">
        <v>117</v>
      </c>
      <c r="O45" s="64"/>
      <c r="P45" s="16" t="s">
        <v>118</v>
      </c>
      <c r="R45" s="16" t="s">
        <v>118</v>
      </c>
      <c r="S45" s="64"/>
      <c r="U45">
        <v>890.1</v>
      </c>
      <c r="V45">
        <v>891.1</v>
      </c>
    </row>
    <row r="46" spans="2:45" s="7" customFormat="1" x14ac:dyDescent="0.25">
      <c r="B46" s="1" t="s">
        <v>102</v>
      </c>
      <c r="C46" s="69"/>
      <c r="D46" s="19">
        <f>IF(D45="DU",(46.3+33.9*LOG10(D39)-13.82*LOG10(D40)-((1.1*LOG10(D39)-0.7)*D41-(1.56*LOG10(D39)-0.8))+3),IF(D45="U",(46.3+33.9*LOG10(D39)-13.82*LOG10(D40)-((1.1*LOG10(D39)-0.7)*D41-(1.56*LOG10(D39)-0.8))),IF(D45="SU",(46.3+33.9*LOG10(D39)-13.82*LOG10(D40)-((1.1*LOG10(D39)-0.7)*D41-(1.56*LOG10(D39)-0.8))-2*(LOG10(D39/28))^2-5.4),(46.3+33.9*LOG10(D39)-13.82*LOG10(D40)-((1.1*LOG10(D39)-0.7)*D41-(1.56*LOG10(D39)-0.8))-(4.78*(LOG10(D39))^2-18.33*LOG10(D39))-35.94))))+D44</f>
        <v>132.09278018113508</v>
      </c>
      <c r="E46" s="19"/>
      <c r="F46" s="19">
        <f>IF(F45="DU",(46.3+33.9*LOG10(F39)-13.82*LOG10(F40)-((1.1*LOG10(F39)-0.7)*F41-(1.56*LOG10(F39)-0.8))+3),IF(F45="U",(46.3+33.9*LOG10(F39)-13.82*LOG10(F40)-((1.1*LOG10(F39)-0.7)*F41-(1.56*LOG10(F39)-0.8))),IF(F45="SU",(46.3+33.9*LOG10(F39)-13.82*LOG10(F40)-((1.1*LOG10(F39)-0.7)*F41-(1.56*LOG10(F39)-0.8))-2*(LOG10(F39/28))^2-5.4),(46.3+33.9*LOG10(F39)-13.82*LOG10(F40)-((1.1*LOG10(F39)-0.7)*F41-(1.56*LOG10(F39)-0.8))-(4.78*(LOG10(F39))^2-18.33*LOG10(F39))-35.94))))+F44</f>
        <v>131.37254280643376</v>
      </c>
      <c r="G46" s="69"/>
      <c r="H46" s="19">
        <f>IF(H45="DU",(46.3+33.9*LOG10(H39)-13.82*LOG10(H40)-((1.1*LOG10(H39)-0.7)*H41-(1.56*LOG10(H39)-0.8))+3),IF(H45="U",(46.3+33.9*LOG10(H39)-13.82*LOG10(H40)-((1.1*LOG10(H39)-0.7)*H41-(1.56*LOG10(H39)-0.8))),IF(H45="SU",(46.3+33.9*LOG10(H39)-13.82*LOG10(H40)-((1.1*LOG10(H39)-0.7)*H41-(1.56*LOG10(H39)-0.8))-2*(LOG10(H39/28))^2-5.4),(46.3+33.9*LOG10(H39)-13.82*LOG10(H40)-((1.1*LOG10(H39)-0.7)*H41-(1.56*LOG10(H39)-0.8))-(4.78*(LOG10(H39))^2-18.33*LOG10(H39))-35.94))))+H44</f>
        <v>128.52073327224841</v>
      </c>
      <c r="I46" s="19"/>
      <c r="J46" s="19">
        <f>IF(J45="DU",(46.3+33.9*LOG10(J39)-13.82*LOG10(J40)-((1.1*LOG10(J39)-0.7)*J41-(1.56*LOG10(J39)-0.8))+3),IF(J45="U",(46.3+33.9*LOG10(J39)-13.82*LOG10(J40)-((1.1*LOG10(J39)-0.7)*J41-(1.56*LOG10(J39)-0.8))),IF(J45="SU",(46.3+33.9*LOG10(J39)-13.82*LOG10(J40)-((1.1*LOG10(J39)-0.7)*J41-(1.56*LOG10(J39)-0.8))-2*(LOG10(J39/28))^2-5.4),(46.3+33.9*LOG10(J39)-13.82*LOG10(J40)-((1.1*LOG10(J39)-0.7)*J41-(1.56*LOG10(J39)-0.8))-(4.78*(LOG10(J39))^2-18.33*LOG10(J39))-35.94))))+J44</f>
        <v>127.80049589754709</v>
      </c>
      <c r="K46" s="69"/>
      <c r="L46" s="19">
        <f>IF(L45="DU",(46.3+33.9*LOG10(L39)-13.82*LOG10(L40)-((1.1*LOG10(L39)-0.7)*L41-(1.56*LOG10(L39)-0.8))+3),IF(L45="U",(46.3+33.9*LOG10(L39)-13.82*LOG10(L40)-((1.1*LOG10(L39)-0.7)*L41-(1.56*LOG10(L39)-0.8))),IF(L45="SU",(46.3+33.9*LOG10(L39)-13.82*LOG10(L40)-((1.1*LOG10(L39)-0.7)*L41-(1.56*LOG10(L39)-0.8))-2*(LOG10(L39/28))^2-5.4),(46.3+33.9*LOG10(L39)-13.82*LOG10(L40)-((1.1*LOG10(L39)-0.7)*L41-(1.56*LOG10(L39)-0.8))-(4.78*(LOG10(L39))^2-18.33*LOG10(L39))-35.94))))+L44</f>
        <v>117.6960340065864</v>
      </c>
      <c r="M46" s="19"/>
      <c r="N46" s="19">
        <f>IF(N45="DU",(46.3+33.9*LOG10(N39)-13.82*LOG10(N40)-((1.1*LOG10(N39)-0.7)*N41-(1.56*LOG10(N39)-0.8))+3),IF(N45="U",(46.3+33.9*LOG10(N39)-13.82*LOG10(N40)-((1.1*LOG10(N39)-0.7)*N41-(1.56*LOG10(N39)-0.8))),IF(N45="SU",(46.3+33.9*LOG10(N39)-13.82*LOG10(N40)-((1.1*LOG10(N39)-0.7)*N41-(1.56*LOG10(N39)-0.8))-2*(LOG10(N39/28))^2-5.4),(46.3+33.9*LOG10(N39)-13.82*LOG10(N40)-((1.1*LOG10(N39)-0.7)*N41-(1.56*LOG10(N39)-0.8))-(4.78*(LOG10(N39))^2-18.33*LOG10(N39))-35.94))))+N44</f>
        <v>117.10492083729487</v>
      </c>
      <c r="O46" s="69"/>
      <c r="P46" s="19">
        <f>IF(P45="DU",(46.3+33.9*LOG10(P39)-13.82*LOG10(P40)-((1.1*LOG10(P39)-0.7)*P41-(1.56*LOG10(P39)-0.8))+3),IF(P45="U",(46.3+33.9*LOG10(P39)-13.82*LOG10(P40)-((1.1*LOG10(P39)-0.7)*P41-(1.56*LOG10(P39)-0.8))),IF(P45="SU",(46.3+33.9*LOG10(P39)-13.82*LOG10(P40)-((1.1*LOG10(P39)-0.7)*P41-(1.56*LOG10(P39)-0.8))-2*(LOG10(P39/28))^2-5.4),(46.3+33.9*LOG10(P39)-13.82*LOG10(P40)-((1.1*LOG10(P39)-0.7)*P41-(1.56*LOG10(P39)-0.8))-(4.78*(LOG10(P39))^2-18.33*LOG10(P39))-35.94))))+P44</f>
        <v>102.96340769738839</v>
      </c>
      <c r="Q46" s="19"/>
      <c r="R46" s="19">
        <f>IF(R45="DU",(46.3+33.9*LOG10(R39)-13.82*LOG10(R40)-((1.1*LOG10(R39)-0.7)*R41-(1.56*LOG10(R39)-0.8))+3),IF(R45="U",(46.3+33.9*LOG10(R39)-13.82*LOG10(R40)-((1.1*LOG10(R39)-0.7)*R41-(1.56*LOG10(R39)-0.8))),IF(R45="SU",(46.3+33.9*LOG10(R39)-13.82*LOG10(R40)-((1.1*LOG10(R39)-0.7)*R41-(1.56*LOG10(R39)-0.8))-2*(LOG10(R39/28))^2-5.4),(46.3+33.9*LOG10(R39)-13.82*LOG10(R40)-((1.1*LOG10(R39)-0.7)*R41-(1.56*LOG10(R39)-0.8))-(4.78*(LOG10(R39))^2-18.33*LOG10(R39))-35.94))))+R44</f>
        <v>102.45601885128235</v>
      </c>
      <c r="S46" s="69"/>
      <c r="T46" s="46"/>
      <c r="U46">
        <v>891.1</v>
      </c>
      <c r="V46">
        <v>892.1</v>
      </c>
      <c r="Y46" s="46"/>
      <c r="Z46" s="46"/>
      <c r="AA46" s="46"/>
      <c r="AS46" s="55"/>
    </row>
    <row r="47" spans="2:45" s="2" customFormat="1" x14ac:dyDescent="0.25">
      <c r="B47" s="7" t="s">
        <v>101</v>
      </c>
      <c r="C47" s="72"/>
      <c r="D47" s="49">
        <f>44.9-6.55*LOG10(D40)</f>
        <v>36.378253528400919</v>
      </c>
      <c r="E47" s="49"/>
      <c r="F47" s="49">
        <f>44.9-6.55*LOG10(F40)</f>
        <v>36.378253528400919</v>
      </c>
      <c r="G47" s="72"/>
      <c r="H47" s="49">
        <f>44.9-6.55*LOG10(H40)</f>
        <v>36.107131440614552</v>
      </c>
      <c r="I47" s="49"/>
      <c r="J47" s="49">
        <f>44.9-6.55*LOG10(J40)</f>
        <v>36.107131440614552</v>
      </c>
      <c r="K47" s="72"/>
      <c r="L47" s="49">
        <f>44.9-6.55*LOG10(L40)</f>
        <v>35.743492943198149</v>
      </c>
      <c r="M47" s="49"/>
      <c r="N47" s="49">
        <f>44.9-6.55*LOG10(N40)</f>
        <v>35.743492943198149</v>
      </c>
      <c r="O47" s="72"/>
      <c r="P47" s="49">
        <f>44.9-6.55*LOG10(P40)</f>
        <v>35.224855781586214</v>
      </c>
      <c r="Q47" s="49"/>
      <c r="R47" s="49">
        <f>44.9-6.55*LOG10(R40)</f>
        <v>35.224855781586214</v>
      </c>
      <c r="S47" s="72"/>
      <c r="T47" s="27"/>
      <c r="U47">
        <v>892.1</v>
      </c>
      <c r="V47">
        <v>893.1</v>
      </c>
      <c r="Y47" s="27"/>
      <c r="Z47" s="27"/>
      <c r="AA47" s="27"/>
      <c r="AS47" s="56"/>
    </row>
    <row r="48" spans="2:45" x14ac:dyDescent="0.25">
      <c r="B48" s="2" t="s">
        <v>103</v>
      </c>
      <c r="C48" s="70"/>
      <c r="D48" s="47">
        <v>10</v>
      </c>
      <c r="E48" s="27"/>
      <c r="F48" s="47">
        <f>D48</f>
        <v>10</v>
      </c>
      <c r="G48" s="70"/>
      <c r="H48" s="47">
        <v>8</v>
      </c>
      <c r="I48" s="27"/>
      <c r="J48" s="47">
        <f>H48</f>
        <v>8</v>
      </c>
      <c r="K48" s="70"/>
      <c r="L48" s="47">
        <v>6</v>
      </c>
      <c r="M48" s="27"/>
      <c r="N48" s="47">
        <f>L48</f>
        <v>6</v>
      </c>
      <c r="O48" s="70"/>
      <c r="P48" s="47">
        <v>6</v>
      </c>
      <c r="Q48" s="27"/>
      <c r="R48" s="47">
        <f>P48</f>
        <v>6</v>
      </c>
      <c r="S48" s="70"/>
      <c r="U48">
        <v>893.1</v>
      </c>
      <c r="V48">
        <v>894.1</v>
      </c>
    </row>
    <row r="49" spans="2:23" x14ac:dyDescent="0.25">
      <c r="B49" s="1" t="s">
        <v>97</v>
      </c>
      <c r="C49" s="73"/>
      <c r="D49" s="48">
        <f>D31/(D48*SQRT(2))</f>
        <v>0.7636753236814714</v>
      </c>
      <c r="E49" s="48"/>
      <c r="F49" s="48">
        <f>F31/(F48*SQRT(2))</f>
        <v>0.7636753236814714</v>
      </c>
      <c r="G49" s="73"/>
      <c r="H49" s="48">
        <f>H31/(H48*SQRT(2))</f>
        <v>0.95459415460183916</v>
      </c>
      <c r="I49" s="48"/>
      <c r="J49" s="48">
        <f>J31/(J48*SQRT(2))</f>
        <v>0.95459415460183916</v>
      </c>
      <c r="K49" s="73"/>
      <c r="L49" s="48">
        <f>L31/(L48*SQRT(2))</f>
        <v>1.2727922061357855</v>
      </c>
      <c r="M49" s="48"/>
      <c r="N49" s="48">
        <f>N31/(N48*SQRT(2))</f>
        <v>1.2727922061357855</v>
      </c>
      <c r="O49" s="73"/>
      <c r="P49" s="48">
        <f>P31/(P48*SQRT(2))</f>
        <v>1.2727922061357855</v>
      </c>
      <c r="Q49" s="48"/>
      <c r="R49" s="48">
        <f>R31/(R48*SQRT(2))</f>
        <v>1.2727922061357855</v>
      </c>
      <c r="S49" s="73"/>
      <c r="U49">
        <v>894.1</v>
      </c>
      <c r="V49" s="104">
        <v>895.1</v>
      </c>
    </row>
    <row r="50" spans="2:23" x14ac:dyDescent="0.25">
      <c r="B50" s="1" t="s">
        <v>104</v>
      </c>
      <c r="C50" s="73"/>
      <c r="D50" s="48">
        <f>0.307*D47/D48</f>
        <v>1.1168123833219084</v>
      </c>
      <c r="E50" s="48"/>
      <c r="F50" s="48">
        <f>0.307*F47/F48</f>
        <v>1.1168123833219084</v>
      </c>
      <c r="G50" s="73"/>
      <c r="H50" s="48">
        <f>0.307*H47/H48</f>
        <v>1.3856111690335835</v>
      </c>
      <c r="I50" s="48"/>
      <c r="J50" s="48">
        <f>0.307*J47/J48</f>
        <v>1.3856111690335835</v>
      </c>
      <c r="K50" s="73"/>
      <c r="L50" s="48">
        <f>0.307*L47/L48</f>
        <v>1.8288753889269718</v>
      </c>
      <c r="M50" s="48"/>
      <c r="N50" s="48">
        <f>0.307*N47/N48</f>
        <v>1.8288753889269718</v>
      </c>
      <c r="O50" s="73"/>
      <c r="P50" s="48">
        <f>0.307*P47/P48</f>
        <v>1.8023384541578278</v>
      </c>
      <c r="Q50" s="48"/>
      <c r="R50" s="48">
        <f>0.307*R47/R48</f>
        <v>1.8023384541578278</v>
      </c>
      <c r="S50" s="73"/>
    </row>
    <row r="51" spans="2:23" x14ac:dyDescent="0.25">
      <c r="B51" s="1" t="s">
        <v>98</v>
      </c>
      <c r="C51" s="73"/>
      <c r="D51" s="48">
        <f>1/(1+(0.47047*D49))</f>
        <v>0.73568017147938802</v>
      </c>
      <c r="E51" s="48"/>
      <c r="F51" s="48">
        <f>1/(1+(0.47047*F49))</f>
        <v>0.73568017147938802</v>
      </c>
      <c r="G51" s="73"/>
      <c r="H51" s="48">
        <f>1/(1+(0.47047*H49))</f>
        <v>0.69007973234935516</v>
      </c>
      <c r="I51" s="48"/>
      <c r="J51" s="48">
        <f>1/(1+(0.47047*J49))</f>
        <v>0.69007973234935516</v>
      </c>
      <c r="K51" s="73"/>
      <c r="L51" s="48">
        <f>1/(1+(0.47047*L49))</f>
        <v>0.62546497487611841</v>
      </c>
      <c r="M51" s="48"/>
      <c r="N51" s="48">
        <f>1/(1+(0.47047*N49))</f>
        <v>0.62546497487611841</v>
      </c>
      <c r="O51" s="73"/>
      <c r="P51" s="48">
        <f>1/(1+(0.47047*P49))</f>
        <v>0.62546497487611841</v>
      </c>
      <c r="Q51" s="48"/>
      <c r="R51" s="48">
        <f>1/(1+(0.47047*R49))</f>
        <v>0.62546497487611841</v>
      </c>
      <c r="S51" s="73"/>
      <c r="U51" t="s">
        <v>267</v>
      </c>
      <c r="V51" t="s">
        <v>268</v>
      </c>
    </row>
    <row r="52" spans="2:23" x14ac:dyDescent="0.25">
      <c r="B52" s="1" t="s">
        <v>99</v>
      </c>
      <c r="C52" s="73"/>
      <c r="D52" s="48">
        <f>1-(0.34802*D51-0.0958798*D51^2+0.7478556*D51^3)*EXP(-1*D49^2)</f>
        <v>0.71987836542072048</v>
      </c>
      <c r="E52" s="48"/>
      <c r="F52" s="48">
        <f>1-(0.34802*F51-0.0958798*F51^2+0.7478556*F51^3)*EXP(-1*F49^2)</f>
        <v>0.71987836542072048</v>
      </c>
      <c r="G52" s="73"/>
      <c r="H52" s="48">
        <f>1-(0.34802*H51-0.0958798*H51^2+0.7478556*H51^3)*EXP(-1*H49^2)</f>
        <v>0.82300401654784872</v>
      </c>
      <c r="I52" s="48"/>
      <c r="J52" s="48">
        <f>1-(0.34802*J51-0.0958798*J51^2+0.7478556*J51^3)*EXP(-1*J49^2)</f>
        <v>0.82300401654784872</v>
      </c>
      <c r="K52" s="73"/>
      <c r="L52" s="48">
        <f>1-(0.34802*L51-0.0958798*L51^2+0.7478556*L51^3)*EXP(-1*L49^2)</f>
        <v>0.92813204578403941</v>
      </c>
      <c r="M52" s="48"/>
      <c r="N52" s="48">
        <f>1-(0.34802*N51-0.0958798*N51^2+0.7478556*N51^3)*EXP(-1*N49^2)</f>
        <v>0.92813204578403941</v>
      </c>
      <c r="O52" s="73"/>
      <c r="P52" s="48">
        <f>1-(0.34802*P51-0.0958798*P51^2+0.7478556*P51^3)*EXP(-1*P49^2)</f>
        <v>0.92813204578403941</v>
      </c>
      <c r="Q52" s="48"/>
      <c r="R52" s="48">
        <f>1-(0.34802*R51-0.0958798*R51^2+0.7478556*R51^3)*EXP(-1*R49^2)</f>
        <v>0.92813204578403941</v>
      </c>
      <c r="S52" s="73"/>
      <c r="U52">
        <v>935.1</v>
      </c>
      <c r="V52">
        <v>936.1</v>
      </c>
    </row>
    <row r="53" spans="2:23" x14ac:dyDescent="0.25">
      <c r="B53" s="1" t="s">
        <v>105</v>
      </c>
      <c r="C53" s="73"/>
      <c r="D53" s="48">
        <f>EXP((2*D49*D50+1)/(D50^2))</f>
        <v>8.7525871118479603</v>
      </c>
      <c r="E53" s="48"/>
      <c r="F53" s="48">
        <f>EXP((2*F49*F50+1)/(F50^2))</f>
        <v>8.7525871118479603</v>
      </c>
      <c r="G53" s="73"/>
      <c r="H53" s="48">
        <f>EXP((2*H49*H50+1)/(H50^2))</f>
        <v>6.6773605726040808</v>
      </c>
      <c r="I53" s="48"/>
      <c r="J53" s="48">
        <f>EXP((2*J49*J50+1)/(J50^2))</f>
        <v>6.6773605726040808</v>
      </c>
      <c r="K53" s="73"/>
      <c r="L53" s="48">
        <f>EXP((2*L49*L50+1)/(L50^2))</f>
        <v>5.424132433741307</v>
      </c>
      <c r="M53" s="48"/>
      <c r="N53" s="48">
        <f>EXP((2*N49*N50+1)/(N50^2))</f>
        <v>5.424132433741307</v>
      </c>
      <c r="O53" s="73"/>
      <c r="P53" s="48">
        <f>EXP((2*P49*P50+1)/(P50^2))</f>
        <v>5.5857587562435027</v>
      </c>
      <c r="Q53" s="48"/>
      <c r="R53" s="48">
        <f>EXP((2*R49*R50+1)/(R50^2))</f>
        <v>5.5857587562435027</v>
      </c>
      <c r="S53" s="73"/>
      <c r="U53">
        <v>936.1</v>
      </c>
      <c r="V53">
        <v>937.1</v>
      </c>
    </row>
    <row r="54" spans="2:23" x14ac:dyDescent="0.25">
      <c r="B54" s="1" t="s">
        <v>125</v>
      </c>
      <c r="C54" s="73"/>
      <c r="D54" s="48">
        <f>(D49*D50+1)/D50</f>
        <v>1.6590808680089304</v>
      </c>
      <c r="E54" s="48"/>
      <c r="F54" s="48">
        <f>(F49*F50+1)/F50</f>
        <v>1.6590808680089304</v>
      </c>
      <c r="G54" s="73"/>
      <c r="H54" s="48">
        <f>(H49*H50+1)/H50</f>
        <v>1.676297344030852</v>
      </c>
      <c r="I54" s="48"/>
      <c r="J54" s="48">
        <f>(J49*J50+1)/J50</f>
        <v>1.676297344030852</v>
      </c>
      <c r="K54" s="73"/>
      <c r="L54" s="48">
        <f>(L49*L50+1)/L50</f>
        <v>1.8195763151322517</v>
      </c>
      <c r="M54" s="48"/>
      <c r="N54" s="48">
        <f>(N49*N50+1)/N50</f>
        <v>1.8195763151322517</v>
      </c>
      <c r="O54" s="73"/>
      <c r="P54" s="48">
        <f>(P49*P50+1)/P50</f>
        <v>1.8276269530131508</v>
      </c>
      <c r="Q54" s="48"/>
      <c r="R54" s="48">
        <f>(R49*R50+1)/R50</f>
        <v>1.8276269530131508</v>
      </c>
      <c r="S54" s="73"/>
      <c r="U54">
        <v>937.1</v>
      </c>
      <c r="V54">
        <v>938.1</v>
      </c>
    </row>
    <row r="55" spans="2:23" x14ac:dyDescent="0.25">
      <c r="B55" s="1" t="s">
        <v>106</v>
      </c>
      <c r="C55" s="73"/>
      <c r="D55" s="48">
        <f>1/(1+(0.47047*D54))</f>
        <v>0.56162491874390164</v>
      </c>
      <c r="E55" s="48"/>
      <c r="F55" s="48">
        <f>1/(1+(0.47047*F54))</f>
        <v>0.56162491874390164</v>
      </c>
      <c r="G55" s="73"/>
      <c r="H55" s="48">
        <f>1/(1+(0.47047*H54))</f>
        <v>0.55908161764264963</v>
      </c>
      <c r="I55" s="48"/>
      <c r="J55" s="48">
        <f>1/(1+(0.47047*J54))</f>
        <v>0.55908161764264963</v>
      </c>
      <c r="K55" s="73"/>
      <c r="L55" s="48">
        <f>1/(1+(0.47047*L54))</f>
        <v>0.53877682722667242</v>
      </c>
      <c r="M55" s="48"/>
      <c r="N55" s="48">
        <f>1/(1+(0.47047*N54))</f>
        <v>0.53877682722667242</v>
      </c>
      <c r="O55" s="73"/>
      <c r="P55" s="48">
        <f>1/(1+(0.47047*P54))</f>
        <v>0.53767960474020693</v>
      </c>
      <c r="Q55" s="48"/>
      <c r="R55" s="48">
        <f>1/(1+(0.47047*R54))</f>
        <v>0.53767960474020693</v>
      </c>
      <c r="S55" s="73"/>
      <c r="U55">
        <v>938.1</v>
      </c>
      <c r="V55">
        <v>939.1</v>
      </c>
    </row>
    <row r="56" spans="2:23" x14ac:dyDescent="0.25">
      <c r="B56" s="1" t="s">
        <v>107</v>
      </c>
      <c r="C56" s="73"/>
      <c r="D56" s="48">
        <f>1-(0.348*D55-0.0958798*D55^2+0.7478556*D55^3)*EXP(-1*(D54^2))</f>
        <v>0.98101809927219419</v>
      </c>
      <c r="E56" s="48"/>
      <c r="F56" s="48">
        <f>1-(0.348*F55-0.0958798*F55^2+0.7478556*F55^3)*EXP(-1*(F54^2))</f>
        <v>0.98101809927219419</v>
      </c>
      <c r="G56" s="73"/>
      <c r="H56" s="48">
        <f>1-(0.348*H55-0.0958798*H55^2+0.7478556*H55^3)*EXP(-1*(H54^2))</f>
        <v>0.982222104883407</v>
      </c>
      <c r="I56" s="48"/>
      <c r="J56" s="48">
        <f>1-(0.348*J55-0.0958798*J55^2+0.7478556*J55^3)*EXP(-1*(J54^2))</f>
        <v>0.982222104883407</v>
      </c>
      <c r="K56" s="73"/>
      <c r="L56" s="48">
        <f>1-(0.348*L55-0.0958798*L55^2+0.7478556*L55^3)*EXP(-1*(L54^2))</f>
        <v>0.98990740478386618</v>
      </c>
      <c r="M56" s="48"/>
      <c r="N56" s="48">
        <f>1-(0.348*N55-0.0958798*N55^2+0.7478556*N55^3)*EXP(-1*(N54^2))</f>
        <v>0.98990740478386618</v>
      </c>
      <c r="O56" s="73"/>
      <c r="P56" s="48">
        <f>1-(0.348*P55-0.0958798*P55^2+0.7478556*P55^3)*EXP(-1*(P54^2))</f>
        <v>0.99023421969665648</v>
      </c>
      <c r="Q56" s="48"/>
      <c r="R56" s="48">
        <f>1-(0.348*R55-0.0958798*R55^2+0.7478556*R55^3)*EXP(-1*(R54^2))</f>
        <v>0.99023421969665648</v>
      </c>
      <c r="S56" s="73"/>
      <c r="T56"/>
      <c r="U56">
        <v>939.1</v>
      </c>
      <c r="V56" s="104">
        <v>940.1</v>
      </c>
      <c r="W56" s="36"/>
    </row>
    <row r="57" spans="2:23" x14ac:dyDescent="0.25">
      <c r="B57" s="8" t="s">
        <v>45</v>
      </c>
      <c r="C57" s="74"/>
      <c r="D57" s="23">
        <f>10^((D34-D46)/D47)</f>
        <v>0.78001211805202475</v>
      </c>
      <c r="F57" s="23">
        <f>10^((F34-F46)/F47)</f>
        <v>0.97400373864009016</v>
      </c>
      <c r="G57" s="74"/>
      <c r="H57" s="23">
        <f>10^((H34-H46)/H47)</f>
        <v>1.1838763974262556</v>
      </c>
      <c r="J57" s="23">
        <f>10^((J34-J46)/J47)</f>
        <v>1.4807779268883072</v>
      </c>
      <c r="K57" s="74"/>
      <c r="L57" s="23">
        <f>10^((L34-L46)/L47)</f>
        <v>3.0818006520101875</v>
      </c>
      <c r="N57" s="23">
        <f>10^((N34-N46)/N47)</f>
        <v>4.0864050470476174</v>
      </c>
      <c r="O57" s="74"/>
      <c r="P57" s="23">
        <f>10^((P34-P46)/P47)</f>
        <v>13.401843143095451</v>
      </c>
      <c r="R57" s="23">
        <f>10^((R34-R46)/R47)</f>
        <v>16.089596949372361</v>
      </c>
      <c r="S57" s="74"/>
      <c r="T57"/>
      <c r="U57" s="36"/>
      <c r="V57" s="36"/>
      <c r="W57" s="36"/>
    </row>
    <row r="58" spans="2:23" x14ac:dyDescent="0.25">
      <c r="B58" s="6" t="s">
        <v>47</v>
      </c>
      <c r="C58" s="65"/>
      <c r="D58" s="44">
        <f>MIN(D57,F57)</f>
        <v>0.78001211805202475</v>
      </c>
      <c r="G58" s="65"/>
      <c r="H58" s="44">
        <f>MIN(H57,J57)</f>
        <v>1.1838763974262556</v>
      </c>
      <c r="K58" s="65"/>
      <c r="L58" s="44">
        <f>MIN(L57,N57)</f>
        <v>3.0818006520101875</v>
      </c>
      <c r="O58" s="65"/>
      <c r="P58" s="44">
        <f>MIN(P57,R57)</f>
        <v>13.401843143095451</v>
      </c>
      <c r="S58" s="65"/>
      <c r="T58" s="42"/>
      <c r="U58" s="41" t="s">
        <v>269</v>
      </c>
      <c r="V58" s="105">
        <f>V56-V49</f>
        <v>45</v>
      </c>
      <c r="W58" s="35"/>
    </row>
    <row r="59" spans="2:23" x14ac:dyDescent="0.25">
      <c r="B59" s="8" t="s">
        <v>44</v>
      </c>
      <c r="C59" s="65"/>
      <c r="D59" s="23">
        <f>1.95*D58^2</f>
        <v>1.1864168634006114</v>
      </c>
      <c r="G59" s="65"/>
      <c r="H59" s="23">
        <f>1.95*H58^2</f>
        <v>2.7330484825467902</v>
      </c>
      <c r="K59" s="65"/>
      <c r="L59" s="23">
        <f>1.95*L58^2</f>
        <v>18.520115754524312</v>
      </c>
      <c r="O59" s="65"/>
      <c r="P59" s="23">
        <f>1.95*P58^2</f>
        <v>350.23832928266239</v>
      </c>
      <c r="S59" s="65"/>
      <c r="T59" s="42"/>
      <c r="U59" s="41"/>
      <c r="V59" s="41"/>
      <c r="W59" s="35"/>
    </row>
    <row r="60" spans="2:23" x14ac:dyDescent="0.25">
      <c r="C60" s="65"/>
      <c r="G60" s="65"/>
      <c r="K60" s="65"/>
      <c r="O60" s="65"/>
      <c r="S60" s="65"/>
    </row>
    <row r="61" spans="2:23" x14ac:dyDescent="0.25">
      <c r="B61" s="8" t="s">
        <v>108</v>
      </c>
      <c r="C61" s="65"/>
      <c r="D61" s="45">
        <f>0.5*(1+D52+(D53)*(1-D56))</f>
        <v>0.94300955254464547</v>
      </c>
      <c r="G61" s="65"/>
      <c r="H61" s="45">
        <f>0.5*(1+H52+(H53)*(1-H56))</f>
        <v>0.97085671623163872</v>
      </c>
      <c r="K61" s="65"/>
      <c r="L61" s="45">
        <f>0.5*(1+L52+(L53)*(1-L56))</f>
        <v>0.99143780941824655</v>
      </c>
      <c r="O61" s="65"/>
      <c r="P61" s="45">
        <f>0.5*(1+P52+(P53)*(1-P56))</f>
        <v>0.99134066931249543</v>
      </c>
      <c r="S61" s="65"/>
    </row>
    <row r="62" spans="2:23" x14ac:dyDescent="0.25">
      <c r="C62" s="65"/>
      <c r="G62" s="65"/>
      <c r="K62" s="65"/>
      <c r="O62" s="65"/>
      <c r="S62" s="65"/>
    </row>
    <row r="63" spans="2:23" x14ac:dyDescent="0.25">
      <c r="B63" s="8" t="s">
        <v>100</v>
      </c>
      <c r="C63" s="65"/>
      <c r="D63" s="45">
        <f>0.5+0.5*D52</f>
        <v>0.85993918271036018</v>
      </c>
      <c r="G63" s="65"/>
      <c r="H63" s="45">
        <f>0.5+0.5*H52</f>
        <v>0.91150200827392436</v>
      </c>
      <c r="K63" s="65"/>
      <c r="L63" s="45">
        <f>0.5+0.5*L52</f>
        <v>0.9640660228920197</v>
      </c>
      <c r="O63" s="65"/>
      <c r="P63" s="45">
        <f>0.5+0.5*P52</f>
        <v>0.9640660228920197</v>
      </c>
      <c r="S63" s="65"/>
    </row>
    <row r="66" spans="2:12" x14ac:dyDescent="0.25">
      <c r="D66" s="64" t="s">
        <v>91</v>
      </c>
      <c r="E66" s="64"/>
      <c r="F66" s="64" t="s">
        <v>116</v>
      </c>
      <c r="G66" s="64"/>
      <c r="H66" s="64" t="s">
        <v>117</v>
      </c>
      <c r="I66" s="64"/>
      <c r="J66" s="64" t="s">
        <v>143</v>
      </c>
      <c r="K66" s="64"/>
      <c r="L66" s="64" t="s">
        <v>144</v>
      </c>
    </row>
    <row r="67" spans="2:12" x14ac:dyDescent="0.25">
      <c r="B67" s="77" t="s">
        <v>146</v>
      </c>
      <c r="C67" s="27"/>
      <c r="D67" s="16">
        <v>33.78</v>
      </c>
      <c r="E67" s="16"/>
      <c r="F67" s="16">
        <v>24.95</v>
      </c>
      <c r="G67" s="16"/>
      <c r="H67" s="16">
        <v>50.05</v>
      </c>
      <c r="I67" s="16"/>
      <c r="J67" s="16">
        <v>3.86</v>
      </c>
      <c r="K67" s="16"/>
      <c r="L67" s="16">
        <f>SUM(D67:J67)</f>
        <v>112.64</v>
      </c>
    </row>
    <row r="68" spans="2:12" x14ac:dyDescent="0.25">
      <c r="B68" s="78" t="s">
        <v>145</v>
      </c>
      <c r="C68" s="27"/>
      <c r="D68" s="79">
        <f>ROUNDUP((D67/D59),0)</f>
        <v>29</v>
      </c>
      <c r="E68" s="79"/>
      <c r="F68" s="79">
        <f>ROUNDUP((F67/H59),0)</f>
        <v>10</v>
      </c>
      <c r="G68" s="79"/>
      <c r="H68" s="79">
        <f>ROUNDUP((H67/L59),0)</f>
        <v>3</v>
      </c>
      <c r="I68" s="79"/>
      <c r="J68" s="79">
        <f>ROUNDUP((J67/P59),0)</f>
        <v>1</v>
      </c>
      <c r="K68" s="79"/>
      <c r="L68" s="79">
        <f>SUM(D68:J68)</f>
        <v>43</v>
      </c>
    </row>
    <row r="73" spans="2:12" x14ac:dyDescent="0.25">
      <c r="B73" s="1" t="s">
        <v>254</v>
      </c>
    </row>
  </sheetData>
  <dataValidations count="4">
    <dataValidation type="list" allowBlank="1" showInputMessage="1" showErrorMessage="1" sqref="AH2:AH6 Y1:Y32 Y38:Y1048576">
      <formula1>$U$63:$U$63</formula1>
    </dataValidation>
    <dataValidation type="list" allowBlank="1" showInputMessage="1" showErrorMessage="1" sqref="D45 R45:S45 N45:P45 J45:L45 F45:H45">
      <formula1>$AS$3:$AS$6</formula1>
    </dataValidation>
    <dataValidation type="list" allowBlank="1" showInputMessage="1" showErrorMessage="1" sqref="D3 P3 H3 L3">
      <formula1>$AS$10:$AS$14</formula1>
    </dataValidation>
    <dataValidation type="list" allowBlank="1" showInputMessage="1" showErrorMessage="1" sqref="F10:G10 R10:S10 N10:O10 J10:K10">
      <formula1>$AS$17:$AS$18</formula1>
    </dataValidation>
  </dataValidations>
  <pageMargins left="0.7" right="0.7" top="0.75" bottom="0.75" header="0.3" footer="0.3"/>
  <pageSetup orientation="portrait" r:id="rId1"/>
  <headerFooter>
    <oddFooter>&amp;C Public</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60"/>
  <sheetViews>
    <sheetView workbookViewId="0">
      <pane xSplit="2" ySplit="1" topLeftCell="C2" activePane="bottomRight" state="frozen"/>
      <selection pane="topRight" activeCell="C1" sqref="C1"/>
      <selection pane="bottomLeft" activeCell="A2" sqref="A2"/>
      <selection pane="bottomRight" activeCell="F21" sqref="F21"/>
    </sheetView>
  </sheetViews>
  <sheetFormatPr defaultRowHeight="15" x14ac:dyDescent="0.25"/>
  <cols>
    <col min="1" max="1" width="10.140625" style="35" bestFit="1" customWidth="1"/>
    <col min="2" max="2" width="44" bestFit="1" customWidth="1"/>
    <col min="3" max="3" width="10.42578125" style="35" bestFit="1" customWidth="1"/>
    <col min="5" max="5" width="22.42578125" style="35" customWidth="1"/>
    <col min="6" max="6" width="12" bestFit="1" customWidth="1"/>
    <col min="9" max="9" width="9.28515625" customWidth="1"/>
    <col min="11" max="11" width="9.85546875" bestFit="1" customWidth="1"/>
  </cols>
  <sheetData>
    <row r="1" spans="1:45" x14ac:dyDescent="0.25">
      <c r="A1" s="84" t="s">
        <v>197</v>
      </c>
      <c r="B1" s="83" t="s">
        <v>198</v>
      </c>
      <c r="C1" s="84" t="s">
        <v>199</v>
      </c>
      <c r="D1" s="83" t="s">
        <v>200</v>
      </c>
      <c r="E1" s="84" t="s">
        <v>201</v>
      </c>
    </row>
    <row r="2" spans="1:45" x14ac:dyDescent="0.25">
      <c r="A2" s="35" t="s">
        <v>0</v>
      </c>
      <c r="B2" t="s">
        <v>202</v>
      </c>
      <c r="C2" s="99">
        <v>33</v>
      </c>
      <c r="D2" t="s">
        <v>156</v>
      </c>
      <c r="E2" s="92" t="s">
        <v>203</v>
      </c>
      <c r="F2" s="94">
        <f>10^((C2-30)/10)</f>
        <v>1.9952623149688797</v>
      </c>
    </row>
    <row r="3" spans="1:45" x14ac:dyDescent="0.25">
      <c r="A3" s="35" t="s">
        <v>1</v>
      </c>
      <c r="B3" t="s">
        <v>204</v>
      </c>
      <c r="C3" s="97">
        <f>C2-C7</f>
        <v>-10</v>
      </c>
      <c r="D3" t="s">
        <v>161</v>
      </c>
      <c r="E3" s="35" t="s">
        <v>208</v>
      </c>
      <c r="AS3" t="s">
        <v>91</v>
      </c>
    </row>
    <row r="4" spans="1:45" x14ac:dyDescent="0.25">
      <c r="A4" s="35" t="s">
        <v>4</v>
      </c>
      <c r="B4" t="s">
        <v>205</v>
      </c>
      <c r="C4" s="99">
        <v>-0.5</v>
      </c>
      <c r="D4" t="s">
        <v>161</v>
      </c>
      <c r="E4" s="92" t="s">
        <v>203</v>
      </c>
      <c r="AS4" t="s">
        <v>116</v>
      </c>
    </row>
    <row r="5" spans="1:45" x14ac:dyDescent="0.25">
      <c r="A5" s="35" t="s">
        <v>178</v>
      </c>
      <c r="B5" t="s">
        <v>206</v>
      </c>
      <c r="C5" s="99">
        <v>18</v>
      </c>
      <c r="D5" t="s">
        <v>207</v>
      </c>
      <c r="E5" s="92" t="s">
        <v>203</v>
      </c>
      <c r="AS5" t="s">
        <v>117</v>
      </c>
    </row>
    <row r="6" spans="1:45" x14ac:dyDescent="0.25">
      <c r="A6" s="35" t="s">
        <v>6</v>
      </c>
      <c r="B6" t="s">
        <v>209</v>
      </c>
      <c r="C6" s="97">
        <f>C2+C4+C5</f>
        <v>50.5</v>
      </c>
      <c r="D6" t="s">
        <v>156</v>
      </c>
      <c r="E6" s="35" t="s">
        <v>210</v>
      </c>
      <c r="F6" s="94">
        <f>10^((C6-30)/10)</f>
        <v>112.20184543019634</v>
      </c>
      <c r="G6" t="s">
        <v>248</v>
      </c>
      <c r="AS6" t="s">
        <v>118</v>
      </c>
    </row>
    <row r="7" spans="1:45" x14ac:dyDescent="0.25">
      <c r="A7" s="35" t="s">
        <v>8</v>
      </c>
      <c r="B7" t="s">
        <v>211</v>
      </c>
      <c r="C7" s="99">
        <v>43</v>
      </c>
      <c r="D7" t="s">
        <v>156</v>
      </c>
      <c r="E7" s="92" t="s">
        <v>203</v>
      </c>
      <c r="I7" s="103" t="s">
        <v>260</v>
      </c>
      <c r="J7" s="103"/>
    </row>
    <row r="8" spans="1:45" x14ac:dyDescent="0.25">
      <c r="A8" s="35" t="s">
        <v>179</v>
      </c>
      <c r="B8" t="s">
        <v>212</v>
      </c>
      <c r="C8" s="97">
        <f>C7+C4+C5</f>
        <v>60.5</v>
      </c>
      <c r="D8" t="s">
        <v>156</v>
      </c>
      <c r="E8" s="35" t="s">
        <v>213</v>
      </c>
      <c r="I8" s="102" t="s">
        <v>109</v>
      </c>
      <c r="J8" s="102" t="s">
        <v>261</v>
      </c>
    </row>
    <row r="9" spans="1:45" x14ac:dyDescent="0.25">
      <c r="A9" s="35" t="s">
        <v>180</v>
      </c>
      <c r="B9" t="s">
        <v>214</v>
      </c>
      <c r="C9" s="99">
        <v>0</v>
      </c>
      <c r="D9" t="s">
        <v>156</v>
      </c>
      <c r="E9" s="92" t="s">
        <v>203</v>
      </c>
      <c r="I9" s="101" t="s">
        <v>91</v>
      </c>
      <c r="J9" s="101">
        <v>-76</v>
      </c>
    </row>
    <row r="10" spans="1:45" x14ac:dyDescent="0.25">
      <c r="A10" s="35" t="s">
        <v>13</v>
      </c>
      <c r="B10" t="s">
        <v>215</v>
      </c>
      <c r="C10" s="97">
        <f>C8+C9</f>
        <v>60.5</v>
      </c>
      <c r="D10" t="s">
        <v>156</v>
      </c>
      <c r="E10" s="35" t="s">
        <v>216</v>
      </c>
      <c r="F10" s="94">
        <f>10^((C10-30)/10)</f>
        <v>1122.0184543019636</v>
      </c>
      <c r="G10" t="s">
        <v>248</v>
      </c>
      <c r="I10" s="101" t="s">
        <v>116</v>
      </c>
      <c r="J10" s="101">
        <v>-81</v>
      </c>
    </row>
    <row r="11" spans="1:45" x14ac:dyDescent="0.25">
      <c r="A11" s="35" t="s">
        <v>181</v>
      </c>
      <c r="B11" t="s">
        <v>217</v>
      </c>
      <c r="C11" s="97">
        <v>-174</v>
      </c>
      <c r="D11" t="s">
        <v>219</v>
      </c>
      <c r="E11" s="35" t="s">
        <v>252</v>
      </c>
      <c r="I11" s="101" t="s">
        <v>117</v>
      </c>
      <c r="J11" s="101">
        <v>-86</v>
      </c>
    </row>
    <row r="12" spans="1:45" x14ac:dyDescent="0.25">
      <c r="A12" s="35" t="s">
        <v>182</v>
      </c>
      <c r="B12" t="s">
        <v>218</v>
      </c>
      <c r="C12" s="97">
        <f>10*LOG10(3840000)</f>
        <v>65.8433122436753</v>
      </c>
      <c r="D12" t="s">
        <v>220</v>
      </c>
      <c r="E12" s="35" t="s">
        <v>253</v>
      </c>
      <c r="I12" s="101" t="s">
        <v>118</v>
      </c>
      <c r="J12" s="101">
        <v>-91</v>
      </c>
    </row>
    <row r="13" spans="1:45" x14ac:dyDescent="0.25">
      <c r="A13" s="35" t="s">
        <v>19</v>
      </c>
      <c r="B13" t="s">
        <v>221</v>
      </c>
      <c r="C13" s="99">
        <v>7</v>
      </c>
      <c r="D13" t="s">
        <v>161</v>
      </c>
      <c r="E13" s="92" t="s">
        <v>203</v>
      </c>
    </row>
    <row r="14" spans="1:45" x14ac:dyDescent="0.25">
      <c r="A14" s="35" t="s">
        <v>183</v>
      </c>
      <c r="B14" t="s">
        <v>222</v>
      </c>
      <c r="C14" s="97">
        <f>C11+C12+C13</f>
        <v>-101.1566877563247</v>
      </c>
      <c r="D14" t="s">
        <v>223</v>
      </c>
      <c r="E14" s="35" t="s">
        <v>224</v>
      </c>
      <c r="F14" s="96">
        <f>10^(C14/10)</f>
        <v>7.6618072894804749E-11</v>
      </c>
      <c r="G14" t="s">
        <v>249</v>
      </c>
      <c r="I14" s="106" t="s">
        <v>48</v>
      </c>
      <c r="J14" s="106"/>
      <c r="K14" s="106"/>
    </row>
    <row r="15" spans="1:45" x14ac:dyDescent="0.25">
      <c r="A15" s="35" t="s">
        <v>23</v>
      </c>
      <c r="B15" t="s">
        <v>250</v>
      </c>
      <c r="C15" s="99">
        <f>-10*LOG10(1-0.65)</f>
        <v>4.5593195564972442</v>
      </c>
      <c r="D15" t="s">
        <v>161</v>
      </c>
      <c r="E15" s="92" t="s">
        <v>259</v>
      </c>
      <c r="F15" s="94">
        <f>10^(C15/10)</f>
        <v>2.8571428571428581</v>
      </c>
      <c r="G15" t="s">
        <v>248</v>
      </c>
      <c r="I15" s="102" t="s">
        <v>109</v>
      </c>
      <c r="J15" s="102" t="s">
        <v>255</v>
      </c>
      <c r="K15" s="102" t="s">
        <v>256</v>
      </c>
    </row>
    <row r="16" spans="1:45" x14ac:dyDescent="0.25">
      <c r="A16" s="35" t="s">
        <v>26</v>
      </c>
      <c r="B16" t="s">
        <v>225</v>
      </c>
      <c r="C16" s="98">
        <f>10*LOG10((F6/F32)/(F14+((F15*F10)/F32)))</f>
        <v>-14.999845135970631</v>
      </c>
      <c r="D16" t="s">
        <v>161</v>
      </c>
      <c r="E16" s="35" t="s">
        <v>226</v>
      </c>
      <c r="H16" s="94"/>
      <c r="I16" s="101" t="s">
        <v>91</v>
      </c>
      <c r="J16" s="101">
        <v>10</v>
      </c>
      <c r="K16" s="101">
        <v>-25</v>
      </c>
    </row>
    <row r="17" spans="1:11" x14ac:dyDescent="0.25">
      <c r="A17" s="35" t="s">
        <v>27</v>
      </c>
      <c r="B17" t="s">
        <v>251</v>
      </c>
      <c r="C17" s="99">
        <v>-16</v>
      </c>
      <c r="D17" t="s">
        <v>161</v>
      </c>
      <c r="E17" s="92" t="s">
        <v>203</v>
      </c>
      <c r="I17" s="101" t="s">
        <v>116</v>
      </c>
      <c r="J17" s="101">
        <v>8</v>
      </c>
      <c r="K17" s="101">
        <v>-22</v>
      </c>
    </row>
    <row r="18" spans="1:11" x14ac:dyDescent="0.25">
      <c r="A18" s="35" t="s">
        <v>184</v>
      </c>
      <c r="B18" t="s">
        <v>227</v>
      </c>
      <c r="C18" s="98">
        <f>C6-C32+C31</f>
        <v>-111.71392685638963</v>
      </c>
      <c r="D18" t="s">
        <v>156</v>
      </c>
      <c r="E18" s="35" t="s">
        <v>228</v>
      </c>
      <c r="I18" s="101" t="s">
        <v>117</v>
      </c>
      <c r="J18" s="101">
        <v>6</v>
      </c>
      <c r="K18" s="101">
        <v>-18</v>
      </c>
    </row>
    <row r="19" spans="1:11" x14ac:dyDescent="0.25">
      <c r="A19" s="35" t="s">
        <v>31</v>
      </c>
      <c r="B19" t="s">
        <v>229</v>
      </c>
      <c r="C19" s="99">
        <f>VLOOKUP(C43,I9:J12,2,0)+C31</f>
        <v>-111.71392685638963</v>
      </c>
      <c r="D19" t="s">
        <v>156</v>
      </c>
      <c r="E19" s="92" t="s">
        <v>258</v>
      </c>
      <c r="F19" t="s">
        <v>263</v>
      </c>
      <c r="I19" s="101" t="s">
        <v>118</v>
      </c>
      <c r="J19" s="101">
        <v>6</v>
      </c>
      <c r="K19" s="101">
        <v>-12</v>
      </c>
    </row>
    <row r="20" spans="1:11" x14ac:dyDescent="0.25">
      <c r="A20" s="35" t="s">
        <v>32</v>
      </c>
      <c r="B20" t="s">
        <v>230</v>
      </c>
      <c r="C20" s="99">
        <v>0</v>
      </c>
      <c r="D20" t="s">
        <v>207</v>
      </c>
      <c r="E20" s="92" t="s">
        <v>203</v>
      </c>
    </row>
    <row r="21" spans="1:11" x14ac:dyDescent="0.25">
      <c r="A21" s="35" t="s">
        <v>33</v>
      </c>
      <c r="B21" t="s">
        <v>205</v>
      </c>
      <c r="C21" s="99">
        <v>0</v>
      </c>
      <c r="D21" t="s">
        <v>161</v>
      </c>
      <c r="E21" s="92" t="s">
        <v>203</v>
      </c>
    </row>
    <row r="22" spans="1:11" x14ac:dyDescent="0.25">
      <c r="A22" s="35" t="s">
        <v>185</v>
      </c>
      <c r="B22" t="s">
        <v>231</v>
      </c>
      <c r="C22" s="97">
        <f>C20+C21</f>
        <v>0</v>
      </c>
      <c r="D22" t="s">
        <v>161</v>
      </c>
      <c r="E22" s="35" t="s">
        <v>232</v>
      </c>
    </row>
    <row r="23" spans="1:11" x14ac:dyDescent="0.25">
      <c r="A23" s="35" t="s">
        <v>186</v>
      </c>
      <c r="B23" t="s">
        <v>233</v>
      </c>
      <c r="C23" s="100">
        <v>0.9</v>
      </c>
      <c r="D23" t="s">
        <v>124</v>
      </c>
      <c r="E23" s="92" t="s">
        <v>203</v>
      </c>
    </row>
    <row r="24" spans="1:11" x14ac:dyDescent="0.25">
      <c r="A24" s="35" t="s">
        <v>187</v>
      </c>
      <c r="B24" t="s">
        <v>234</v>
      </c>
      <c r="C24" s="99">
        <f>VLOOKUP(C43,I16:J19,2,0)</f>
        <v>10</v>
      </c>
      <c r="D24" t="s">
        <v>161</v>
      </c>
      <c r="E24" s="92" t="s">
        <v>258</v>
      </c>
    </row>
    <row r="25" spans="1:11" x14ac:dyDescent="0.25">
      <c r="A25" s="35" t="s">
        <v>188</v>
      </c>
      <c r="B25" t="s">
        <v>236</v>
      </c>
      <c r="C25" s="98">
        <f>-NORMINV(C23,0,C24)</f>
        <v>-12.815515655446006</v>
      </c>
      <c r="D25" t="s">
        <v>161</v>
      </c>
      <c r="E25" s="93" t="s">
        <v>246</v>
      </c>
    </row>
    <row r="26" spans="1:11" x14ac:dyDescent="0.25">
      <c r="A26" s="35" t="s">
        <v>189</v>
      </c>
      <c r="B26" t="s">
        <v>235</v>
      </c>
      <c r="C26" s="98">
        <f>(SQRT((NORMINV(C23,0,C24)-NORMINV((1-SQRT(1-C23)),0,C24))))*(1.6-(8-C24)/10)</f>
        <v>5.1015887990563673</v>
      </c>
      <c r="D26" t="s">
        <v>161</v>
      </c>
      <c r="E26" s="95" t="s">
        <v>237</v>
      </c>
    </row>
    <row r="27" spans="1:11" x14ac:dyDescent="0.25">
      <c r="A27" s="35" t="s">
        <v>190</v>
      </c>
      <c r="B27" t="s">
        <v>238</v>
      </c>
      <c r="C27" s="100">
        <v>0</v>
      </c>
      <c r="D27" t="s">
        <v>161</v>
      </c>
      <c r="E27" s="92" t="s">
        <v>203</v>
      </c>
    </row>
    <row r="28" spans="1:11" x14ac:dyDescent="0.25">
      <c r="A28" s="35" t="s">
        <v>191</v>
      </c>
      <c r="B28" t="s">
        <v>239</v>
      </c>
      <c r="C28" s="100">
        <v>0</v>
      </c>
      <c r="D28" t="s">
        <v>161</v>
      </c>
      <c r="E28" s="92" t="s">
        <v>203</v>
      </c>
    </row>
    <row r="29" spans="1:11" x14ac:dyDescent="0.25">
      <c r="A29" s="35" t="s">
        <v>192</v>
      </c>
      <c r="B29" t="s">
        <v>240</v>
      </c>
      <c r="C29" s="100">
        <f>VLOOKUP(C43,I16:K19,3,0)</f>
        <v>-25</v>
      </c>
      <c r="D29" t="s">
        <v>161</v>
      </c>
      <c r="E29" s="92" t="s">
        <v>258</v>
      </c>
    </row>
    <row r="30" spans="1:11" x14ac:dyDescent="0.25">
      <c r="A30" s="35" t="s">
        <v>193</v>
      </c>
      <c r="B30" t="s">
        <v>241</v>
      </c>
      <c r="C30" s="100">
        <v>-3</v>
      </c>
      <c r="D30" t="s">
        <v>161</v>
      </c>
      <c r="E30" s="92" t="s">
        <v>203</v>
      </c>
    </row>
    <row r="31" spans="1:11" x14ac:dyDescent="0.25">
      <c r="A31" s="35" t="s">
        <v>194</v>
      </c>
      <c r="B31" t="s">
        <v>245</v>
      </c>
      <c r="C31" s="97">
        <f>C25+C26+C27+C28+C29+C30</f>
        <v>-35.713926856389641</v>
      </c>
      <c r="D31" t="s">
        <v>161</v>
      </c>
      <c r="E31" s="35" t="s">
        <v>242</v>
      </c>
      <c r="F31" s="96"/>
    </row>
    <row r="32" spans="1:11" x14ac:dyDescent="0.25">
      <c r="A32" s="35" t="s">
        <v>195</v>
      </c>
      <c r="B32" t="s">
        <v>244</v>
      </c>
      <c r="C32" s="98">
        <f>C6-C19+C31+C22</f>
        <v>126.5</v>
      </c>
      <c r="D32" t="s">
        <v>161</v>
      </c>
      <c r="E32" s="35" t="s">
        <v>247</v>
      </c>
      <c r="F32" s="96">
        <f>10^(C32/10)</f>
        <v>4466835921509.6465</v>
      </c>
    </row>
    <row r="33" spans="1:6" x14ac:dyDescent="0.25">
      <c r="A33" s="35" t="s">
        <v>196</v>
      </c>
      <c r="B33" s="82" t="s">
        <v>262</v>
      </c>
      <c r="C33" s="98">
        <f>C18-C31</f>
        <v>-76</v>
      </c>
      <c r="D33" s="82" t="s">
        <v>156</v>
      </c>
      <c r="E33" s="35" t="s">
        <v>243</v>
      </c>
      <c r="F33" t="s">
        <v>264</v>
      </c>
    </row>
    <row r="35" spans="1:6" x14ac:dyDescent="0.25">
      <c r="A35" s="6" t="s">
        <v>90</v>
      </c>
      <c r="B35" s="6"/>
      <c r="C35" s="19"/>
    </row>
    <row r="36" spans="1:6" x14ac:dyDescent="0.25">
      <c r="A36" s="24" t="s">
        <v>43</v>
      </c>
      <c r="B36" s="1"/>
      <c r="C36" s="3"/>
    </row>
    <row r="37" spans="1:6" x14ac:dyDescent="0.25">
      <c r="B37" s="1" t="s">
        <v>39</v>
      </c>
      <c r="C37" s="16">
        <v>2100</v>
      </c>
      <c r="E37" s="92" t="s">
        <v>203</v>
      </c>
    </row>
    <row r="38" spans="1:6" x14ac:dyDescent="0.25">
      <c r="B38" s="1" t="s">
        <v>40</v>
      </c>
      <c r="C38" s="15">
        <v>20</v>
      </c>
      <c r="E38" s="92" t="s">
        <v>203</v>
      </c>
    </row>
    <row r="39" spans="1:6" x14ac:dyDescent="0.25">
      <c r="B39" s="1" t="s">
        <v>41</v>
      </c>
      <c r="C39" s="15">
        <v>1.5</v>
      </c>
      <c r="E39" s="92" t="s">
        <v>203</v>
      </c>
    </row>
    <row r="40" spans="1:6" x14ac:dyDescent="0.25">
      <c r="A40" s="1"/>
      <c r="B40" s="1"/>
      <c r="C40" s="3"/>
    </row>
    <row r="41" spans="1:6" x14ac:dyDescent="0.25">
      <c r="A41" s="85" t="s">
        <v>93</v>
      </c>
      <c r="B41" s="85"/>
      <c r="C41" s="3"/>
    </row>
    <row r="42" spans="1:6" x14ac:dyDescent="0.25">
      <c r="A42" s="1"/>
      <c r="B42" s="1"/>
      <c r="C42" s="3"/>
    </row>
    <row r="43" spans="1:6" x14ac:dyDescent="0.25">
      <c r="B43" s="1" t="s">
        <v>92</v>
      </c>
      <c r="C43" s="16" t="s">
        <v>91</v>
      </c>
      <c r="E43" s="92" t="s">
        <v>257</v>
      </c>
    </row>
    <row r="44" spans="1:6" x14ac:dyDescent="0.25">
      <c r="B44" s="1" t="s">
        <v>102</v>
      </c>
      <c r="C44" s="19">
        <f>IF(C43="DU",(46.3+33.9*LOG10(C37)-13.82*LOG10(C38)-((1.1*LOG10(C37)-0.7)*C39-(1.56*LOG10(C37)-0.8))+3),IF(C43="U",(46.3+33.9*LOG10(C37)-13.82*LOG10(C38)-((1.1*LOG10(C37)-0.7)*C39-(1.56*LOG10(C37)-0.8))),IF(C43="SU",(46.3+33.9*LOG10(C37)-13.82*LOG10(C38)-((1.1*LOG10(C37)-0.7)*C39-(1.56*LOG10(C37)-0.8))-2*(LOG10(C37/28))^2-5.4),(46.3+33.9*LOG10(C37)-13.82*LOG10(C38)-((1.1*LOG10(C37)-0.7)*C39-(1.56*LOG10(C37)-0.8))-(4.78*(LOG10(C37))^2-18.33*LOG10(C37))-35.94))))+C42</f>
        <v>143.89399981487759</v>
      </c>
    </row>
    <row r="45" spans="1:6" x14ac:dyDescent="0.25">
      <c r="B45" s="7" t="s">
        <v>101</v>
      </c>
      <c r="C45" s="49">
        <f>44.9-6.55*LOG10(C38)</f>
        <v>36.378253528400919</v>
      </c>
    </row>
    <row r="46" spans="1:6" x14ac:dyDescent="0.25">
      <c r="B46" s="2" t="s">
        <v>103</v>
      </c>
      <c r="C46" s="47">
        <f>C24</f>
        <v>10</v>
      </c>
    </row>
    <row r="47" spans="1:6" x14ac:dyDescent="0.25">
      <c r="B47" s="1" t="s">
        <v>97</v>
      </c>
      <c r="C47" s="48">
        <f>-C25/(C46*SQRT(2))</f>
        <v>0.90619380243682335</v>
      </c>
    </row>
    <row r="48" spans="1:6" x14ac:dyDescent="0.25">
      <c r="B48" s="1" t="s">
        <v>104</v>
      </c>
      <c r="C48" s="48">
        <f>0.307*C45/C46</f>
        <v>1.1168123833219084</v>
      </c>
    </row>
    <row r="49" spans="2:3" x14ac:dyDescent="0.25">
      <c r="B49" s="1" t="s">
        <v>98</v>
      </c>
      <c r="C49" s="48">
        <f>1/(1+(0.47047*C47))</f>
        <v>0.70109658603767666</v>
      </c>
    </row>
    <row r="50" spans="2:3" x14ac:dyDescent="0.25">
      <c r="B50" s="1" t="s">
        <v>99</v>
      </c>
      <c r="C50" s="48">
        <f>1-(0.34802*C49-0.0958798*C49^2+0.7478556*C49^3)*EXP(-1*C47^2)</f>
        <v>0.80002212256220184</v>
      </c>
    </row>
    <row r="51" spans="2:3" x14ac:dyDescent="0.25">
      <c r="B51" s="1" t="s">
        <v>105</v>
      </c>
      <c r="C51" s="48">
        <f>EXP((2*C47*C48+1)/(C48^2))</f>
        <v>11.297404382694767</v>
      </c>
    </row>
    <row r="52" spans="2:3" x14ac:dyDescent="0.25">
      <c r="B52" s="1" t="s">
        <v>125</v>
      </c>
      <c r="C52" s="48">
        <f>(C47*C48+1)/C48</f>
        <v>1.8015993467642821</v>
      </c>
    </row>
    <row r="53" spans="2:3" x14ac:dyDescent="0.25">
      <c r="B53" s="1" t="s">
        <v>106</v>
      </c>
      <c r="C53" s="48">
        <f>1/(1+(0.47047*C52))</f>
        <v>0.54124314884743474</v>
      </c>
    </row>
    <row r="54" spans="2:3" x14ac:dyDescent="0.25">
      <c r="B54" s="1" t="s">
        <v>107</v>
      </c>
      <c r="C54" s="48">
        <f>1-(0.348*C53-0.0958798*C53^2+0.7478556*C53^3)*EXP(-1*(C52^2))</f>
        <v>0.9891422356901125</v>
      </c>
    </row>
    <row r="55" spans="2:3" x14ac:dyDescent="0.25">
      <c r="B55" s="8" t="s">
        <v>45</v>
      </c>
      <c r="C55" s="23">
        <f>10^((C32-C44)/C45)</f>
        <v>0.33255019369093508</v>
      </c>
    </row>
    <row r="56" spans="2:3" x14ac:dyDescent="0.25">
      <c r="B56" s="8" t="s">
        <v>44</v>
      </c>
      <c r="C56" s="23">
        <f>1.95*C55^2</f>
        <v>0.21564978108156294</v>
      </c>
    </row>
    <row r="57" spans="2:3" x14ac:dyDescent="0.25">
      <c r="B57" s="1"/>
      <c r="C57" s="3"/>
    </row>
    <row r="58" spans="2:3" x14ac:dyDescent="0.25">
      <c r="B58" s="8" t="s">
        <v>108</v>
      </c>
      <c r="C58" s="45">
        <f>0.5*(1+C50+(C51)*(1-C54))</f>
        <v>0.96134333833149588</v>
      </c>
    </row>
    <row r="59" spans="2:3" x14ac:dyDescent="0.25">
      <c r="B59" s="1"/>
      <c r="C59" s="3"/>
    </row>
    <row r="60" spans="2:3" x14ac:dyDescent="0.25">
      <c r="B60" s="8" t="s">
        <v>100</v>
      </c>
      <c r="C60" s="45">
        <f>0.5+0.5*C50</f>
        <v>0.90001106128110098</v>
      </c>
    </row>
  </sheetData>
  <mergeCells count="1">
    <mergeCell ref="I14:K14"/>
  </mergeCells>
  <dataValidations count="1">
    <dataValidation type="list" allowBlank="1" showInputMessage="1" showErrorMessage="1" sqref="C43">
      <formula1>$AS$3:$AS$6</formula1>
    </dataValidation>
  </dataValidations>
  <pageMargins left="0.7" right="0.7" top="0.75" bottom="0.75" header="0.3" footer="0.3"/>
  <pageSetup orientation="portrait" r:id="rId1"/>
  <headerFooter>
    <oddFooter>&amp;C  Public</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26"/>
  <sheetViews>
    <sheetView workbookViewId="0">
      <selection activeCell="E11" sqref="E11"/>
    </sheetView>
  </sheetViews>
  <sheetFormatPr defaultRowHeight="15" x14ac:dyDescent="0.25"/>
  <cols>
    <col min="1" max="1" width="3.28515625" style="1" customWidth="1"/>
    <col min="2" max="2" width="55.5703125" style="1" customWidth="1"/>
    <col min="3" max="3" width="12" style="3" bestFit="1" customWidth="1"/>
    <col min="4" max="4" width="9.140625" style="1"/>
    <col min="5" max="5" width="72.5703125" style="1" bestFit="1" customWidth="1"/>
    <col min="6" max="16384" width="9.140625" style="1"/>
  </cols>
  <sheetData>
    <row r="2" spans="2:5" ht="15.75" x14ac:dyDescent="0.25">
      <c r="B2" s="87" t="s">
        <v>152</v>
      </c>
    </row>
    <row r="3" spans="2:5" ht="70.5" customHeight="1" x14ac:dyDescent="0.25">
      <c r="B3" s="107" t="s">
        <v>151</v>
      </c>
      <c r="C3" s="107"/>
      <c r="D3" s="107"/>
      <c r="E3" s="107"/>
    </row>
    <row r="5" spans="2:5" x14ac:dyDescent="0.25">
      <c r="B5" s="2" t="s">
        <v>148</v>
      </c>
      <c r="C5" s="16">
        <v>12.2</v>
      </c>
      <c r="D5" s="2" t="s">
        <v>147</v>
      </c>
    </row>
    <row r="6" spans="2:5" x14ac:dyDescent="0.25">
      <c r="B6" s="2" t="s">
        <v>162</v>
      </c>
      <c r="C6" s="47">
        <f>10*LOG10(3840/C5)</f>
        <v>24.979713936927826</v>
      </c>
      <c r="D6" s="2" t="s">
        <v>161</v>
      </c>
    </row>
    <row r="7" spans="2:5" x14ac:dyDescent="0.25">
      <c r="B7" s="89" t="s">
        <v>153</v>
      </c>
      <c r="C7" s="27"/>
      <c r="D7" s="2"/>
    </row>
    <row r="8" spans="2:5" x14ac:dyDescent="0.25">
      <c r="B8" s="42" t="s">
        <v>154</v>
      </c>
      <c r="C8" s="16">
        <v>43</v>
      </c>
      <c r="D8" s="2" t="s">
        <v>156</v>
      </c>
    </row>
    <row r="9" spans="2:5" x14ac:dyDescent="0.25">
      <c r="B9" s="42" t="s">
        <v>155</v>
      </c>
      <c r="C9" s="16">
        <v>33</v>
      </c>
      <c r="D9" s="2" t="s">
        <v>156</v>
      </c>
    </row>
    <row r="10" spans="2:5" x14ac:dyDescent="0.25">
      <c r="B10" s="2" t="s">
        <v>157</v>
      </c>
      <c r="C10" s="16">
        <v>33</v>
      </c>
      <c r="D10" s="2" t="s">
        <v>156</v>
      </c>
    </row>
    <row r="11" spans="2:5" ht="30" x14ac:dyDescent="0.25">
      <c r="B11" s="88" t="s">
        <v>158</v>
      </c>
      <c r="C11" s="16">
        <v>33</v>
      </c>
      <c r="D11" s="2" t="s">
        <v>156</v>
      </c>
    </row>
    <row r="12" spans="2:5" x14ac:dyDescent="0.25">
      <c r="B12" s="88" t="s">
        <v>170</v>
      </c>
      <c r="C12" s="16">
        <v>-33</v>
      </c>
      <c r="D12" s="2" t="s">
        <v>161</v>
      </c>
    </row>
    <row r="13" spans="2:5" x14ac:dyDescent="0.25">
      <c r="B13" s="2" t="s">
        <v>159</v>
      </c>
      <c r="C13" s="16">
        <v>7</v>
      </c>
      <c r="D13" s="2" t="s">
        <v>161</v>
      </c>
    </row>
    <row r="14" spans="2:5" x14ac:dyDescent="0.25">
      <c r="B14" s="2" t="s">
        <v>160</v>
      </c>
      <c r="C14" s="47">
        <f>C13-C6</f>
        <v>-17.979713936927826</v>
      </c>
      <c r="D14" s="2" t="s">
        <v>161</v>
      </c>
      <c r="E14" s="5" t="s">
        <v>163</v>
      </c>
    </row>
    <row r="15" spans="2:5" x14ac:dyDescent="0.25">
      <c r="B15" s="2" t="s">
        <v>164</v>
      </c>
      <c r="C15" s="16">
        <v>-90</v>
      </c>
      <c r="D15" s="2" t="s">
        <v>156</v>
      </c>
    </row>
    <row r="17" spans="2:5" ht="30" x14ac:dyDescent="0.25">
      <c r="B17" s="81" t="s">
        <v>165</v>
      </c>
      <c r="C17" s="27">
        <v>-90</v>
      </c>
      <c r="D17" s="2" t="s">
        <v>156</v>
      </c>
      <c r="E17" s="80" t="s">
        <v>166</v>
      </c>
    </row>
    <row r="18" spans="2:5" x14ac:dyDescent="0.25">
      <c r="B18" s="81" t="s">
        <v>167</v>
      </c>
      <c r="C18" s="18">
        <f>C17-C14</f>
        <v>-72.020286063072177</v>
      </c>
      <c r="D18" s="2" t="s">
        <v>156</v>
      </c>
      <c r="E18" s="5" t="s">
        <v>168</v>
      </c>
    </row>
    <row r="19" spans="2:5" x14ac:dyDescent="0.25">
      <c r="B19" s="81" t="s">
        <v>169</v>
      </c>
      <c r="C19" s="18">
        <f>C18-C12</f>
        <v>-39.020286063072177</v>
      </c>
      <c r="D19" s="2" t="s">
        <v>156</v>
      </c>
      <c r="E19" s="5" t="s">
        <v>171</v>
      </c>
    </row>
    <row r="20" spans="2:5" x14ac:dyDescent="0.25">
      <c r="B20" s="56" t="s">
        <v>172</v>
      </c>
      <c r="C20" s="27"/>
      <c r="D20" s="2"/>
    </row>
    <row r="21" spans="2:5" x14ac:dyDescent="0.25">
      <c r="B21" s="90" t="s">
        <v>173</v>
      </c>
      <c r="C21" s="18">
        <f>C8-C19</f>
        <v>82.020286063072177</v>
      </c>
      <c r="D21" s="2" t="s">
        <v>156</v>
      </c>
    </row>
    <row r="22" spans="2:5" x14ac:dyDescent="0.25">
      <c r="B22" s="90" t="s">
        <v>174</v>
      </c>
      <c r="C22" s="18">
        <f>C9-C19</f>
        <v>72.020286063072177</v>
      </c>
      <c r="D22" s="2" t="s">
        <v>156</v>
      </c>
    </row>
    <row r="24" spans="2:5" x14ac:dyDescent="0.25">
      <c r="B24" s="6" t="s">
        <v>175</v>
      </c>
      <c r="C24" s="27"/>
      <c r="D24" s="2"/>
    </row>
    <row r="25" spans="2:5" x14ac:dyDescent="0.25">
      <c r="B25" s="81" t="s">
        <v>173</v>
      </c>
      <c r="C25" s="91">
        <f>10^((C21-37)/20)</f>
        <v>178.24374696839541</v>
      </c>
      <c r="D25" s="2" t="s">
        <v>177</v>
      </c>
      <c r="E25" s="1" t="s">
        <v>176</v>
      </c>
    </row>
    <row r="26" spans="2:5" x14ac:dyDescent="0.25">
      <c r="B26" s="81" t="s">
        <v>174</v>
      </c>
      <c r="C26" s="91">
        <f>10^((C22-37)/20)</f>
        <v>56.365621910286229</v>
      </c>
      <c r="D26" s="2" t="s">
        <v>177</v>
      </c>
    </row>
  </sheetData>
  <mergeCells count="1">
    <mergeCell ref="B3:E3"/>
  </mergeCells>
  <pageMargins left="0.7" right="0.7" top="0.75" bottom="0.75" header="0.3" footer="0.3"/>
  <pageSetup orientation="portrait" r:id="rId1"/>
  <headerFooter>
    <oddFooter>&amp;C   Public</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X33"/>
  <sheetViews>
    <sheetView showGridLines="0" workbookViewId="0">
      <selection activeCell="T16" sqref="T16"/>
    </sheetView>
  </sheetViews>
  <sheetFormatPr defaultRowHeight="15" x14ac:dyDescent="0.25"/>
  <cols>
    <col min="1" max="1" width="2.85546875" style="1" customWidth="1"/>
    <col min="2" max="2" width="61" style="1" bestFit="1" customWidth="1"/>
    <col min="3" max="3" width="7.5703125" style="1" bestFit="1" customWidth="1"/>
    <col min="4" max="4" width="5" style="1" bestFit="1" customWidth="1"/>
    <col min="5" max="6" width="5" style="3" bestFit="1" customWidth="1"/>
    <col min="7" max="18" width="5.5703125" style="1" bestFit="1" customWidth="1"/>
    <col min="19" max="21" width="6.5703125" style="1" bestFit="1" customWidth="1"/>
    <col min="22" max="22" width="2.85546875" style="1" customWidth="1"/>
    <col min="23" max="23" width="15.140625" style="1" bestFit="1" customWidth="1"/>
    <col min="24" max="24" width="13.42578125" style="1" bestFit="1" customWidth="1"/>
    <col min="25" max="16384" width="9.140625" style="1"/>
  </cols>
  <sheetData>
    <row r="1" spans="2:24" x14ac:dyDescent="0.25">
      <c r="B1" s="8" t="s">
        <v>34</v>
      </c>
      <c r="C1" s="9">
        <v>80</v>
      </c>
      <c r="D1" s="9">
        <f>C1+5</f>
        <v>85</v>
      </c>
      <c r="E1" s="9">
        <f t="shared" ref="E1:R1" si="0">D1+5</f>
        <v>90</v>
      </c>
      <c r="F1" s="9">
        <f t="shared" si="0"/>
        <v>95</v>
      </c>
      <c r="G1" s="9">
        <f t="shared" si="0"/>
        <v>100</v>
      </c>
      <c r="H1" s="9">
        <f t="shared" si="0"/>
        <v>105</v>
      </c>
      <c r="I1" s="9">
        <f t="shared" si="0"/>
        <v>110</v>
      </c>
      <c r="J1" s="9">
        <f t="shared" si="0"/>
        <v>115</v>
      </c>
      <c r="K1" s="9">
        <f t="shared" si="0"/>
        <v>120</v>
      </c>
      <c r="L1" s="9">
        <f t="shared" si="0"/>
        <v>125</v>
      </c>
      <c r="M1" s="9">
        <f>L1+5</f>
        <v>130</v>
      </c>
      <c r="N1" s="9">
        <f t="shared" si="0"/>
        <v>135</v>
      </c>
      <c r="O1" s="9">
        <f t="shared" si="0"/>
        <v>140</v>
      </c>
      <c r="P1" s="9">
        <f t="shared" si="0"/>
        <v>145</v>
      </c>
      <c r="Q1" s="9">
        <f t="shared" si="0"/>
        <v>150</v>
      </c>
      <c r="R1" s="9">
        <f t="shared" si="0"/>
        <v>155</v>
      </c>
      <c r="S1" s="9">
        <f>R1+5</f>
        <v>160</v>
      </c>
      <c r="T1" s="9">
        <f t="shared" ref="T1:U1" si="1">S1+5</f>
        <v>165</v>
      </c>
      <c r="U1" s="9">
        <f t="shared" si="1"/>
        <v>170</v>
      </c>
      <c r="W1" s="16" t="s">
        <v>47</v>
      </c>
      <c r="X1" s="16" t="s">
        <v>46</v>
      </c>
    </row>
    <row r="2" spans="2:24" x14ac:dyDescent="0.25">
      <c r="C2" s="4"/>
      <c r="E2" s="1"/>
      <c r="F2" s="1"/>
      <c r="W2" s="14">
        <f>HLOOKUP(X2,$1:$7,7,0)</f>
        <v>4.7088994025867949E-2</v>
      </c>
      <c r="X2" s="3">
        <v>80</v>
      </c>
    </row>
    <row r="3" spans="2:24" x14ac:dyDescent="0.25">
      <c r="B3" s="1" t="s">
        <v>39</v>
      </c>
      <c r="C3" s="11">
        <v>895</v>
      </c>
      <c r="D3" s="11">
        <v>895</v>
      </c>
      <c r="E3" s="11">
        <v>895</v>
      </c>
      <c r="F3" s="11">
        <v>895</v>
      </c>
      <c r="G3" s="11">
        <v>895</v>
      </c>
      <c r="H3" s="11">
        <v>895</v>
      </c>
      <c r="I3" s="11">
        <v>895</v>
      </c>
      <c r="J3" s="11">
        <v>895</v>
      </c>
      <c r="K3" s="11">
        <v>895</v>
      </c>
      <c r="L3" s="11">
        <v>895</v>
      </c>
      <c r="M3" s="11">
        <v>895</v>
      </c>
      <c r="N3" s="11">
        <v>895</v>
      </c>
      <c r="O3" s="11">
        <v>895</v>
      </c>
      <c r="P3" s="11">
        <v>895</v>
      </c>
      <c r="Q3" s="11">
        <v>895</v>
      </c>
      <c r="R3" s="11">
        <v>895</v>
      </c>
      <c r="S3" s="11">
        <v>895</v>
      </c>
      <c r="T3" s="11">
        <v>895</v>
      </c>
      <c r="U3" s="11">
        <v>895</v>
      </c>
      <c r="W3" s="14">
        <f t="shared" ref="W3:W20" si="2">HLOOKUP(X3,$1:$7,7,0)</f>
        <v>6.4983786565006696E-2</v>
      </c>
      <c r="X3" s="3">
        <f t="shared" ref="X3:X19" si="3">X2+5</f>
        <v>85</v>
      </c>
    </row>
    <row r="4" spans="2:24" x14ac:dyDescent="0.25">
      <c r="B4" s="1" t="s">
        <v>40</v>
      </c>
      <c r="C4" s="11">
        <v>25</v>
      </c>
      <c r="D4" s="11">
        <v>25</v>
      </c>
      <c r="E4" s="11">
        <v>25</v>
      </c>
      <c r="F4" s="11">
        <v>25</v>
      </c>
      <c r="G4" s="11">
        <v>25</v>
      </c>
      <c r="H4" s="11">
        <v>25</v>
      </c>
      <c r="I4" s="11">
        <v>25</v>
      </c>
      <c r="J4" s="11">
        <v>25</v>
      </c>
      <c r="K4" s="11">
        <v>25</v>
      </c>
      <c r="L4" s="11">
        <v>25</v>
      </c>
      <c r="M4" s="11">
        <v>25</v>
      </c>
      <c r="N4" s="11">
        <v>25</v>
      </c>
      <c r="O4" s="11">
        <v>25</v>
      </c>
      <c r="P4" s="11">
        <v>25</v>
      </c>
      <c r="Q4" s="11">
        <v>25</v>
      </c>
      <c r="R4" s="11">
        <v>25</v>
      </c>
      <c r="S4" s="11">
        <v>25</v>
      </c>
      <c r="T4" s="11">
        <v>25</v>
      </c>
      <c r="U4" s="11">
        <v>25</v>
      </c>
      <c r="W4" s="14">
        <f t="shared" si="2"/>
        <v>8.9678970716735487E-2</v>
      </c>
      <c r="X4" s="3">
        <f t="shared" si="3"/>
        <v>90</v>
      </c>
    </row>
    <row r="5" spans="2:24" x14ac:dyDescent="0.25">
      <c r="B5" s="1" t="s">
        <v>41</v>
      </c>
      <c r="C5" s="1">
        <v>1.5</v>
      </c>
      <c r="D5" s="1">
        <v>1.5</v>
      </c>
      <c r="E5" s="1">
        <v>1.5</v>
      </c>
      <c r="F5" s="1">
        <v>1.5</v>
      </c>
      <c r="G5" s="1">
        <v>1.5</v>
      </c>
      <c r="H5" s="1">
        <v>1.5</v>
      </c>
      <c r="I5" s="1">
        <v>1.5</v>
      </c>
      <c r="J5" s="1">
        <v>1.5</v>
      </c>
      <c r="K5" s="1">
        <v>1.5</v>
      </c>
      <c r="L5" s="1">
        <v>1.5</v>
      </c>
      <c r="M5" s="1">
        <v>1.5</v>
      </c>
      <c r="N5" s="1">
        <v>1.5</v>
      </c>
      <c r="O5" s="1">
        <v>1.5</v>
      </c>
      <c r="P5" s="1">
        <v>1.5</v>
      </c>
      <c r="Q5" s="1">
        <v>1.5</v>
      </c>
      <c r="R5" s="1">
        <v>1.5</v>
      </c>
      <c r="S5" s="1">
        <v>1.5</v>
      </c>
      <c r="T5" s="1">
        <v>1.5</v>
      </c>
      <c r="U5" s="1">
        <v>1.5</v>
      </c>
      <c r="W5" s="14">
        <f t="shared" si="2"/>
        <v>0.12375883607163995</v>
      </c>
      <c r="X5" s="3">
        <f t="shared" si="3"/>
        <v>95</v>
      </c>
    </row>
    <row r="6" spans="2:24" x14ac:dyDescent="0.25">
      <c r="B6" s="1" t="s">
        <v>42</v>
      </c>
      <c r="C6" s="10">
        <f>(1.1*LOG10(C3)-0.7)*C5-(1.56*LOG10(C3)-0.8)</f>
        <v>1.5664073178432325E-2</v>
      </c>
      <c r="D6" s="10">
        <f>(1.1*LOG10(D3)-0.7)*D5-(1.56*LOG10(D3)-0.8)</f>
        <v>1.5664073178432325E-2</v>
      </c>
      <c r="E6" s="10">
        <f t="shared" ref="E6:S6" si="4">(1.1*LOG10(E3)-0.7)*E5-(1.56*LOG10(E3)-0.8)</f>
        <v>1.5664073178432325E-2</v>
      </c>
      <c r="F6" s="10">
        <f t="shared" si="4"/>
        <v>1.5664073178432325E-2</v>
      </c>
      <c r="G6" s="10">
        <f t="shared" si="4"/>
        <v>1.5664073178432325E-2</v>
      </c>
      <c r="H6" s="10">
        <f t="shared" si="4"/>
        <v>1.5664073178432325E-2</v>
      </c>
      <c r="I6" s="10">
        <f t="shared" si="4"/>
        <v>1.5664073178432325E-2</v>
      </c>
      <c r="J6" s="10">
        <f t="shared" si="4"/>
        <v>1.5664073178432325E-2</v>
      </c>
      <c r="K6" s="10">
        <f t="shared" si="4"/>
        <v>1.5664073178432325E-2</v>
      </c>
      <c r="L6" s="10">
        <f t="shared" si="4"/>
        <v>1.5664073178432325E-2</v>
      </c>
      <c r="M6" s="10">
        <f t="shared" si="4"/>
        <v>1.5664073178432325E-2</v>
      </c>
      <c r="N6" s="10">
        <f t="shared" si="4"/>
        <v>1.5664073178432325E-2</v>
      </c>
      <c r="O6" s="10">
        <f t="shared" si="4"/>
        <v>1.5664073178432325E-2</v>
      </c>
      <c r="P6" s="10">
        <f t="shared" si="4"/>
        <v>1.5664073178432325E-2</v>
      </c>
      <c r="Q6" s="10">
        <f t="shared" si="4"/>
        <v>1.5664073178432325E-2</v>
      </c>
      <c r="R6" s="10">
        <f t="shared" si="4"/>
        <v>1.5664073178432325E-2</v>
      </c>
      <c r="S6" s="10">
        <f t="shared" si="4"/>
        <v>1.5664073178432325E-2</v>
      </c>
      <c r="T6" s="10">
        <f t="shared" ref="T6" si="5">(1.1*LOG10(T3)-0.7)*T5-(1.56*LOG10(T3)-0.8)</f>
        <v>1.5664073178432325E-2</v>
      </c>
      <c r="U6" s="10">
        <f t="shared" ref="U6" si="6">(1.1*LOG10(U3)-0.7)*U5-(1.56*LOG10(U3)-0.8)</f>
        <v>1.5664073178432325E-2</v>
      </c>
      <c r="W6" s="14">
        <f t="shared" si="2"/>
        <v>0.17078975576320701</v>
      </c>
      <c r="X6" s="3">
        <f t="shared" si="3"/>
        <v>100</v>
      </c>
    </row>
    <row r="7" spans="2:24" x14ac:dyDescent="0.25">
      <c r="B7" s="6" t="s">
        <v>45</v>
      </c>
      <c r="C7" s="13">
        <f>10^((C1-69.55-26.16*LOG10(C3)+13.82*LOG10(C4)+C6)/(44.9-6.55*LOG10(C4)))</f>
        <v>4.7088994025867949E-2</v>
      </c>
      <c r="D7" s="13">
        <f t="shared" ref="D7:U7" si="7">10^((D1-69.55-26.16*LOG10(D3)+13.82*LOG10(D4)+D6)/(44.9-6.55*LOG10(D4)))</f>
        <v>6.4983786565006696E-2</v>
      </c>
      <c r="E7" s="13">
        <f t="shared" si="7"/>
        <v>8.9678970716735487E-2</v>
      </c>
      <c r="F7" s="13">
        <f t="shared" si="7"/>
        <v>0.12375883607163995</v>
      </c>
      <c r="G7" s="13">
        <f t="shared" si="7"/>
        <v>0.17078975576320701</v>
      </c>
      <c r="H7" s="13">
        <f t="shared" si="7"/>
        <v>0.23569339854465696</v>
      </c>
      <c r="I7" s="13">
        <f t="shared" si="7"/>
        <v>0.32526176918099359</v>
      </c>
      <c r="J7" s="13">
        <f t="shared" si="7"/>
        <v>0.44886797485210389</v>
      </c>
      <c r="K7" s="13">
        <f t="shared" si="7"/>
        <v>0.61944709750291305</v>
      </c>
      <c r="L7" s="13">
        <f t="shared" si="7"/>
        <v>0.85484981799205528</v>
      </c>
      <c r="M7" s="13">
        <f t="shared" si="7"/>
        <v>1.1797104454389884</v>
      </c>
      <c r="N7" s="13">
        <f t="shared" si="7"/>
        <v>1.628024836393883</v>
      </c>
      <c r="O7" s="13">
        <f t="shared" si="7"/>
        <v>2.2467079766586711</v>
      </c>
      <c r="P7" s="13">
        <f t="shared" si="7"/>
        <v>3.1005035178471099</v>
      </c>
      <c r="Q7" s="13">
        <f t="shared" si="7"/>
        <v>4.2787590394720745</v>
      </c>
      <c r="R7" s="13">
        <f t="shared" si="7"/>
        <v>5.9047760508836085</v>
      </c>
      <c r="S7" s="13">
        <f t="shared" si="7"/>
        <v>8.1487131875018033</v>
      </c>
      <c r="T7" s="13">
        <f t="shared" si="7"/>
        <v>11.245392888732711</v>
      </c>
      <c r="U7" s="13">
        <f t="shared" si="7"/>
        <v>15.518874982115973</v>
      </c>
      <c r="W7" s="14">
        <f t="shared" si="2"/>
        <v>0.23569339854465696</v>
      </c>
      <c r="X7" s="3">
        <f t="shared" si="3"/>
        <v>105</v>
      </c>
    </row>
    <row r="8" spans="2:24" x14ac:dyDescent="0.25">
      <c r="B8" s="2" t="s">
        <v>44</v>
      </c>
      <c r="C8" s="12">
        <f>2.6*C7^2</f>
        <v>5.7651707317573917E-3</v>
      </c>
      <c r="D8" s="12">
        <f t="shared" ref="D8:U8" si="8">2.6*D7^2</f>
        <v>1.0979520542448497E-2</v>
      </c>
      <c r="E8" s="12">
        <f t="shared" si="8"/>
        <v>2.0910026250914066E-2</v>
      </c>
      <c r="F8" s="12">
        <f t="shared" si="8"/>
        <v>3.9822248715098332E-2</v>
      </c>
      <c r="G8" s="12">
        <f t="shared" si="8"/>
        <v>7.5839765751505347E-2</v>
      </c>
      <c r="H8" s="12">
        <f t="shared" si="8"/>
        <v>0.14443358310557933</v>
      </c>
      <c r="I8" s="12">
        <f t="shared" si="8"/>
        <v>0.2750675680759499</v>
      </c>
      <c r="J8" s="12">
        <f t="shared" si="8"/>
        <v>0.52385439300435532</v>
      </c>
      <c r="K8" s="12">
        <f t="shared" si="8"/>
        <v>0.99765823717243707</v>
      </c>
      <c r="L8" s="12">
        <f t="shared" si="8"/>
        <v>1.8999973494347302</v>
      </c>
      <c r="M8" s="12">
        <f t="shared" si="8"/>
        <v>3.6184635112024264</v>
      </c>
      <c r="N8" s="12">
        <f t="shared" si="8"/>
        <v>6.891208656579856</v>
      </c>
      <c r="O8" s="12">
        <f t="shared" si="8"/>
        <v>13.124011504192419</v>
      </c>
      <c r="P8" s="12">
        <f t="shared" si="8"/>
        <v>24.994117366873986</v>
      </c>
      <c r="Q8" s="12">
        <f t="shared" si="8"/>
        <v>47.600225186446373</v>
      </c>
      <c r="R8" s="12">
        <f t="shared" si="8"/>
        <v>90.652588548830423</v>
      </c>
      <c r="S8" s="12">
        <f t="shared" si="8"/>
        <v>172.64396919163107</v>
      </c>
      <c r="T8" s="12">
        <f t="shared" si="8"/>
        <v>328.7930391770966</v>
      </c>
      <c r="U8" s="12">
        <f t="shared" si="8"/>
        <v>626.17224984741711</v>
      </c>
      <c r="W8" s="14">
        <f t="shared" si="2"/>
        <v>0.32526176918099359</v>
      </c>
      <c r="X8" s="3">
        <f t="shared" si="3"/>
        <v>110</v>
      </c>
    </row>
    <row r="9" spans="2:24" x14ac:dyDescent="0.25">
      <c r="W9" s="14">
        <f t="shared" si="2"/>
        <v>0.44886797485210389</v>
      </c>
      <c r="X9" s="3">
        <f t="shared" si="3"/>
        <v>115</v>
      </c>
    </row>
    <row r="10" spans="2:24" x14ac:dyDescent="0.25">
      <c r="W10" s="14">
        <f t="shared" si="2"/>
        <v>0.61944709750291305</v>
      </c>
      <c r="X10" s="3">
        <f t="shared" si="3"/>
        <v>120</v>
      </c>
    </row>
    <row r="11" spans="2:24" x14ac:dyDescent="0.25">
      <c r="W11" s="14">
        <f t="shared" si="2"/>
        <v>0.85484981799205528</v>
      </c>
      <c r="X11" s="3">
        <f t="shared" si="3"/>
        <v>125</v>
      </c>
    </row>
    <row r="12" spans="2:24" x14ac:dyDescent="0.25">
      <c r="W12" s="14">
        <f t="shared" si="2"/>
        <v>1.1797104454389884</v>
      </c>
      <c r="X12" s="3">
        <f t="shared" si="3"/>
        <v>130</v>
      </c>
    </row>
    <row r="13" spans="2:24" x14ac:dyDescent="0.25">
      <c r="W13" s="14">
        <f t="shared" si="2"/>
        <v>1.628024836393883</v>
      </c>
      <c r="X13" s="3">
        <f t="shared" si="3"/>
        <v>135</v>
      </c>
    </row>
    <row r="14" spans="2:24" x14ac:dyDescent="0.25">
      <c r="W14" s="14">
        <f t="shared" si="2"/>
        <v>2.2467079766586711</v>
      </c>
      <c r="X14" s="3">
        <f t="shared" si="3"/>
        <v>140</v>
      </c>
    </row>
    <row r="15" spans="2:24" x14ac:dyDescent="0.25">
      <c r="W15" s="14">
        <f t="shared" si="2"/>
        <v>3.1005035178471099</v>
      </c>
      <c r="X15" s="3">
        <f t="shared" si="3"/>
        <v>145</v>
      </c>
    </row>
    <row r="16" spans="2:24" x14ac:dyDescent="0.25">
      <c r="W16" s="14">
        <f t="shared" si="2"/>
        <v>4.2787590394720745</v>
      </c>
      <c r="X16" s="3">
        <f t="shared" si="3"/>
        <v>150</v>
      </c>
    </row>
    <row r="17" spans="5:24" x14ac:dyDescent="0.25">
      <c r="W17" s="14">
        <f t="shared" si="2"/>
        <v>5.9047760508836085</v>
      </c>
      <c r="X17" s="3">
        <f t="shared" si="3"/>
        <v>155</v>
      </c>
    </row>
    <row r="18" spans="5:24" x14ac:dyDescent="0.25">
      <c r="W18" s="14">
        <f t="shared" si="2"/>
        <v>8.1487131875018033</v>
      </c>
      <c r="X18" s="3">
        <f t="shared" si="3"/>
        <v>160</v>
      </c>
    </row>
    <row r="19" spans="5:24" x14ac:dyDescent="0.25">
      <c r="W19" s="14">
        <f t="shared" si="2"/>
        <v>11.245392888732711</v>
      </c>
      <c r="X19" s="3">
        <f t="shared" si="3"/>
        <v>165</v>
      </c>
    </row>
    <row r="20" spans="5:24" x14ac:dyDescent="0.25">
      <c r="W20" s="14">
        <f t="shared" si="2"/>
        <v>15.518874982115973</v>
      </c>
      <c r="X20" s="3">
        <v>170</v>
      </c>
    </row>
    <row r="29" spans="5:24" x14ac:dyDescent="0.25">
      <c r="E29" s="1"/>
      <c r="F29" s="1"/>
    </row>
    <row r="30" spans="5:24" x14ac:dyDescent="0.25">
      <c r="E30" s="1"/>
      <c r="F30" s="1"/>
    </row>
    <row r="31" spans="5:24" x14ac:dyDescent="0.25">
      <c r="E31" s="1"/>
      <c r="F31" s="1"/>
    </row>
    <row r="32" spans="5:24" x14ac:dyDescent="0.25">
      <c r="E32" s="1"/>
      <c r="F32" s="1"/>
    </row>
    <row r="33" spans="5:6" x14ac:dyDescent="0.25">
      <c r="E33" s="1"/>
      <c r="F33" s="1"/>
    </row>
  </sheetData>
  <pageMargins left="0.7" right="0.7" top="0.75" bottom="0.75" header="0.3" footer="0.3"/>
  <pageSetup orientation="portrait" r:id="rId1"/>
  <headerFooter>
    <oddFooter>&amp;C    Public</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election activeCell="E43" sqref="E43"/>
    </sheetView>
  </sheetViews>
  <sheetFormatPr defaultRowHeight="15" x14ac:dyDescent="0.25"/>
  <cols>
    <col min="11" max="11" width="12" bestFit="1" customWidth="1"/>
  </cols>
  <sheetData/>
  <pageMargins left="0.7" right="0.7" top="0.75" bottom="0.75" header="0.3" footer="0.3"/>
  <pageSetup orientation="portrait" r:id="rId1"/>
  <headerFooter>
    <oddFooter>&amp;C     Public</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Link Budget</vt:lpstr>
      <vt:lpstr>Link Budget - CPICH</vt:lpstr>
      <vt:lpstr>ADJ CH INTF</vt:lpstr>
      <vt:lpstr>Hata Okumara Model</vt:lpstr>
      <vt:lpstr>References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Alok Tiwari</cp:lastModifiedBy>
  <dcterms:created xsi:type="dcterms:W3CDTF">2010-06-21T09:47:22Z</dcterms:created>
  <dcterms:modified xsi:type="dcterms:W3CDTF">2015-01-11T12:24:58Z</dcterms:modified>
</cp:coreProperties>
</file>